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6.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mc:AlternateContent xmlns:mc="http://schemas.openxmlformats.org/markup-compatibility/2006">
    <mc:Choice Requires="x15">
      <x15ac:absPath xmlns:x15ac="http://schemas.microsoft.com/office/spreadsheetml/2010/11/ac" url="/Users/danyellambert/Downloads/French_Energy_Cost_Risk_Project/outputs/"/>
    </mc:Choice>
  </mc:AlternateContent>
  <xr:revisionPtr revIDLastSave="0" documentId="8_{D0040B2C-A25C-CC49-9E77-737E105EB120}" xr6:coauthVersionLast="47" xr6:coauthVersionMax="47" xr10:uidLastSave="{00000000-0000-0000-0000-000000000000}"/>
  <bookViews>
    <workbookView xWindow="0" yWindow="660" windowWidth="30240" windowHeight="17580" xr2:uid="{00000000-000D-0000-FFFF-FFFF00000000}"/>
  </bookViews>
  <sheets>
    <sheet name="01 Cover" sheetId="1" r:id="rId1"/>
    <sheet name="02 Dashboard" sheetId="2" r:id="rId2"/>
    <sheet name="03 Assumptions" sheetId="3" r:id="rId3"/>
    <sheet name="04 Forecast" sheetId="4" r:id="rId4"/>
    <sheet name="05 Hedge Strategy" sheetId="5" r:id="rId5"/>
    <sheet name="06 Cost Stack" sheetId="6" r:id="rId6"/>
    <sheet name="07 Monthly Budget" sheetId="7" r:id="rId7"/>
    <sheet name="08 Risk Backtest" sheetId="8" r:id="rId8"/>
    <sheet name="09 Offer Simulator" sheetId="9" r:id="rId9"/>
    <sheet name="10 Sources &amp; Audit" sheetId="10" r:id="rId10"/>
    <sheet name="11 Checks" sheetId="11" r:id="rId11"/>
    <sheet name="12 Data Lineage" sheetId="12" r:id="rId12"/>
  </sheets>
  <calcPr calcId="191029" iterate="1"/>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1" l="1"/>
  <c r="F15" i="11" s="1"/>
  <c r="B10" i="11"/>
  <c r="D10" i="11" s="1"/>
  <c r="F10" i="11" s="1"/>
  <c r="B9" i="11"/>
  <c r="D9" i="11" s="1"/>
  <c r="F9" i="11" s="1"/>
  <c r="F14" i="9"/>
  <c r="G14" i="9" s="1"/>
  <c r="F13" i="9"/>
  <c r="G13" i="9" s="1"/>
  <c r="F12" i="9"/>
  <c r="G12" i="9" s="1"/>
  <c r="F11" i="9"/>
  <c r="G11" i="9" s="1"/>
  <c r="F10" i="9"/>
  <c r="G10" i="9" s="1"/>
  <c r="F9" i="9"/>
  <c r="G9" i="9" s="1"/>
  <c r="F8" i="9"/>
  <c r="G8" i="9" s="1"/>
  <c r="F7" i="9"/>
  <c r="G7" i="9" s="1"/>
  <c r="C20" i="7"/>
  <c r="B20" i="7"/>
  <c r="B25" i="6"/>
  <c r="B24" i="6"/>
  <c r="B23" i="6"/>
  <c r="B22" i="6"/>
  <c r="E13" i="7" s="1"/>
  <c r="C18" i="2" s="1"/>
  <c r="B21" i="6"/>
  <c r="B20" i="6"/>
  <c r="B19" i="6"/>
  <c r="B12" i="6"/>
  <c r="B11" i="6"/>
  <c r="B10" i="6"/>
  <c r="B9" i="6"/>
  <c r="B8" i="6"/>
  <c r="D10" i="7" s="1"/>
  <c r="B7" i="6"/>
  <c r="J8" i="5"/>
  <c r="J7" i="5"/>
  <c r="A23" i="2"/>
  <c r="A22" i="2"/>
  <c r="A21" i="2"/>
  <c r="A20" i="2"/>
  <c r="A19" i="2"/>
  <c r="A18" i="2"/>
  <c r="A17" i="2"/>
  <c r="A16" i="2"/>
  <c r="A15" i="2"/>
  <c r="A14" i="2"/>
  <c r="A13" i="2"/>
  <c r="A12" i="2"/>
  <c r="B14" i="11" l="1"/>
  <c r="F14" i="11" s="1"/>
  <c r="E15" i="7"/>
  <c r="C20" i="2" s="1"/>
  <c r="B15" i="2"/>
  <c r="D7" i="7"/>
  <c r="E10" i="7"/>
  <c r="C15" i="2" s="1"/>
  <c r="D17" i="7"/>
  <c r="E8" i="7"/>
  <c r="C13" i="2" s="1"/>
  <c r="D15" i="7"/>
  <c r="E7" i="7"/>
  <c r="D14" i="7"/>
  <c r="E17" i="7"/>
  <c r="C22" i="2" s="1"/>
  <c r="E9" i="7"/>
  <c r="C14" i="2" s="1"/>
  <c r="D11" i="7"/>
  <c r="E14" i="7"/>
  <c r="C19" i="2" s="1"/>
  <c r="E18" i="7"/>
  <c r="C23" i="2" s="1"/>
  <c r="D16" i="7"/>
  <c r="D8" i="7"/>
  <c r="E11" i="7"/>
  <c r="C16" i="2" s="1"/>
  <c r="D18" i="7"/>
  <c r="D12" i="7"/>
  <c r="D9" i="7"/>
  <c r="E12" i="7"/>
  <c r="C17" i="2" s="1"/>
  <c r="B27" i="6"/>
  <c r="D13" i="7"/>
  <c r="E16" i="7"/>
  <c r="C21" i="2" s="1"/>
  <c r="D15" i="11"/>
  <c r="B14" i="6"/>
  <c r="D14" i="11" l="1"/>
  <c r="F15" i="7"/>
  <c r="B20" i="2"/>
  <c r="B11" i="11"/>
  <c r="B16" i="6"/>
  <c r="A5" i="2" s="1"/>
  <c r="F8" i="7"/>
  <c r="B13" i="2"/>
  <c r="F16" i="7"/>
  <c r="B21" i="2"/>
  <c r="B22" i="2"/>
  <c r="F17" i="7"/>
  <c r="B18" i="2"/>
  <c r="F13" i="7"/>
  <c r="D20" i="7"/>
  <c r="B12" i="2"/>
  <c r="F7" i="7"/>
  <c r="B28" i="6"/>
  <c r="D5" i="2" s="1"/>
  <c r="B12" i="11"/>
  <c r="B16" i="2"/>
  <c r="F11" i="7"/>
  <c r="F10" i="7"/>
  <c r="F9" i="7"/>
  <c r="B14" i="2"/>
  <c r="B17" i="2"/>
  <c r="F12" i="7"/>
  <c r="F14" i="7"/>
  <c r="B19" i="2"/>
  <c r="B23" i="2"/>
  <c r="F18" i="7"/>
  <c r="E20" i="7"/>
  <c r="C12" i="2"/>
  <c r="C13" i="11" l="1"/>
  <c r="F20" i="7"/>
  <c r="F12" i="11"/>
  <c r="D12" i="11"/>
  <c r="F11" i="11"/>
  <c r="D11" i="11"/>
  <c r="G5" i="2" l="1"/>
  <c r="B13" i="11"/>
  <c r="D13" i="11" s="1"/>
  <c r="F13" i="11" s="1"/>
  <c r="B5" i="11" s="1"/>
  <c r="J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tc={23F13CAE-CBFF-E107-1A02-B2AC58AE9489}</author>
    <author>tc={E048640B-B0B5-309D-C69B-B19C17B9FD11}</author>
    <author>tc={3ECBFCD4-A561-4E76-9BAB-509502C15396}</author>
    <author>tc={444779F7-3BD7-86EC-3ADC-9A64F883BB96}</author>
    <author>tc={69FDAC2E-5F9D-C167-7B3F-3E3EC4753487}</author>
    <author>tc={F22C2A90-3508-1475-65D7-B8CCB7ACBFB4}</author>
    <author>tc={9B39EF53-B8D2-6367-F481-370C10827C37}</author>
    <author>tc={E22020A3-1DFD-19B1-5977-51619C4DF773}</author>
    <author>tc={26A8A8B8-2DB3-C72C-4594-BFA0E7CE408F}</author>
    <author>tc={36F9E188-D0DF-CE1F-9051-11268222F164}</author>
    <author>tc={62765CFA-149A-7BE0-662E-0521AF025565}</author>
    <author>tc={33ABA655-C7CD-1C88-981B-ADD327045785}</author>
    <author>tc={56B19785-B398-A911-C124-10015B08A700}</author>
    <author>tc={4B8DDC4E-6C0C-E5EA-FD7D-BF52F9627CEB}</author>
    <author>tc={26AA7AF2-20A7-8DB2-6460-9AA01E02DA1C}</author>
  </authors>
  <commentList>
    <comment ref="B14"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Classification: Editable assumption
Source / rationale: Scenario portfolio
As of: 2026-07-11
Excel behavior: editable input unless explicitly classified as model output.</t>
      </text>
    </comment>
    <comment ref="B15"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Classification: Editable assumption
Source / rationale: Scenario
As of: 2026-07-11
Excel behavior: editable input unless explicitly classified as model output.</t>
      </text>
    </comment>
    <comment ref="B16" authorId="2" shapeId="0" xr:uid="{00000000-0006-0000-0200-000003000000}">
      <text>
        <t>[Threaded comment]
Your version of Excel allows you to read this threaded comment; however, any edits to it will get removed if the file is opened in a newer version of Excel. Learn more: https://go.microsoft.com/fwlink/?linkid=870924
Comment:
    Classification: Public anchor
Source / rationale: CRE 2026
As of: 2026-07-11
Excel behavior: editable input unless explicitly classified as model output.</t>
      </text>
    </comment>
    <comment ref="B17" authorId="3" shapeId="0" xr:uid="{00000000-0006-0000-0200-000004000000}">
      <text>
        <t>[Threaded comment]
Your version of Excel allows you to read this threaded comment; however, any edits to it will get removed if the file is opened in a newer version of Excel. Learn more: https://go.microsoft.com/fwlink/?linkid=870924
Comment:
    Classification: Public anchor
Source / rationale: Legifrance 2026
As of: 2026-07-11
Excel behavior: editable input unless explicitly classified as model output.</t>
      </text>
    </comment>
    <comment ref="B18" authorId="4" shapeId="0" xr:uid="{00000000-0006-0000-0200-000005000000}">
      <text>
        <t>[Threaded comment]
Your version of Excel allows you to read this threaded comment; however, any edits to it will get removed if the file is opened in a newer version of Excel. Learn more: https://go.microsoft.com/fwlink/?linkid=870924
Comment:
    Classification: Editable assumption
Source / rationale: Scenario
As of: 2026-07-11
Excel behavior: editable input unless explicitly classified as model output.</t>
      </text>
    </comment>
    <comment ref="B19" authorId="5" shapeId="0" xr:uid="{00000000-0006-0000-0200-000006000000}">
      <text>
        <t>[Threaded comment]
Your version of Excel allows you to read this threaded comment; however, any edits to it will get removed if the file is opened in a newer version of Excel. Learn more: https://go.microsoft.com/fwlink/?linkid=870924
Comment:
    Classification: Editable assumption
Source / rationale: Scenario portfolio
As of: 2026-07-11
Excel behavior: editable input unless explicitly classified as model output.</t>
      </text>
    </comment>
    <comment ref="B20" authorId="6" shapeId="0" xr:uid="{00000000-0006-0000-0200-000007000000}">
      <text>
        <t>[Threaded comment]
Your version of Excel allows you to read this threaded comment; however, any edits to it will get removed if the file is opened in a newer version of Excel. Learn more: https://go.microsoft.com/fwlink/?linkid=870924
Comment:
    Classification: Editable assumption
Source / rationale: Scenario portfolio
As of: 2026-07-11
Excel behavior: editable input unless explicitly classified as model output.</t>
      </text>
    </comment>
    <comment ref="B21" authorId="7" shapeId="0" xr:uid="{00000000-0006-0000-0200-000008000000}">
      <text>
        <t>[Threaded comment]
Your version of Excel allows you to read this threaded comment; however, any edits to it will get removed if the file is opened in a newer version of Excel. Learn more: https://go.microsoft.com/fwlink/?linkid=870924
Comment:
    Classification: Public anchor
Source / rationale: CRE 2026
As of: 2026-07-11
Excel behavior: editable input unless explicitly classified as model output.</t>
      </text>
    </comment>
    <comment ref="B22" authorId="8" shapeId="0" xr:uid="{00000000-0006-0000-0200-000009000000}">
      <text>
        <t>[Threaded comment]
Your version of Excel allows you to read this threaded comment; however, any edits to it will get removed if the file is opened in a newer version of Excel. Learn more: https://go.microsoft.com/fwlink/?linkid=870924
Comment:
    Classification: Editable assumption
Source / rationale: Scenario
As of: 2026-07-11
Excel behavior: editable input unless explicitly classified as model output.</t>
      </text>
    </comment>
    <comment ref="B23" authorId="9" shapeId="0" xr:uid="{00000000-0006-0000-0200-00000A000000}">
      <text>
        <t>[Threaded comment]
Your version of Excel allows you to read this threaded comment; however, any edits to it will get removed if the file is opened in a newer version of Excel. Learn more: https://go.microsoft.com/fwlink/?linkid=870924
Comment:
    Classification: Public anchor
Source / rationale: CRE 2026
As of: 2026-07-11
Excel behavior: editable input unless explicitly classified as model output.</t>
      </text>
    </comment>
    <comment ref="B24" authorId="10" shapeId="0" xr:uid="{00000000-0006-0000-0200-00000B000000}">
      <text>
        <t>[Threaded comment]
Your version of Excel allows you to read this threaded comment; however, any edits to it will get removed if the file is opened in a newer version of Excel. Learn more: https://go.microsoft.com/fwlink/?linkid=870924
Comment:
    Classification: Editable assumption
Source / rationale: Scenario
As of: 2026-07-11
Excel behavior: editable input unless explicitly classified as model output.</t>
      </text>
    </comment>
    <comment ref="B25" authorId="11" shapeId="0" xr:uid="{00000000-0006-0000-0200-00000C000000}">
      <text>
        <t>[Threaded comment]
Your version of Excel allows you to read this threaded comment; however, any edits to it will get removed if the file is opened in a newer version of Excel. Learn more: https://go.microsoft.com/fwlink/?linkid=870924
Comment:
    Classification: Public anchor
Source / rationale: CRE fees + scenario
As of: 2026-07-11
Excel behavior: editable input unless explicitly classified as model output.</t>
      </text>
    </comment>
    <comment ref="B26" authorId="12" shapeId="0" xr:uid="{00000000-0006-0000-0200-00000D000000}">
      <text>
        <t>[Threaded comment]
Your version of Excel allows you to read this threaded comment; however, any edits to it will get removed if the file is opened in a newer version of Excel. Learn more: https://go.microsoft.com/fwlink/?linkid=870924
Comment:
    Classification: Editable assumption
Source / rationale: Scenario
As of: 2026-07-11
Excel behavior: editable input unless explicitly classified as model output.</t>
      </text>
    </comment>
    <comment ref="B27" authorId="13" shapeId="0" xr:uid="{00000000-0006-0000-0200-00000E000000}">
      <text>
        <t>[Threaded comment]
Your version of Excel allows you to read this threaded comment; however, any edits to it will get removed if the file is opened in a newer version of Excel. Learn more: https://go.microsoft.com/fwlink/?linkid=870924
Comment:
    Classification: Editable assumption
Source / rationale: Scenario
As of: 2026-07-11
Excel behavior: editable input unless explicitly classified as model output.</t>
      </text>
    </comment>
    <comment ref="B28" authorId="14" shapeId="0" xr:uid="{00000000-0006-0000-0200-00000F000000}">
      <text>
        <t>[Threaded comment]
Your version of Excel allows you to read this threaded comment; however, any edits to it will get removed if the file is opened in a newer version of Excel. Learn more: https://go.microsoft.com/fwlink/?linkid=870924
Comment:
    Classification: Python/model output
Source / rationale: Model output
As of: 2026-07-11
Excel behavior: editable input unless explicitly classified as model output.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tc={4F09C9CD-8F06-4C8B-5E3D-C6F8E6C0926D}</author>
    <author>tc={FE0D7FEF-8523-7141-16FF-CCCCDFA679CC}</author>
    <author>tc={6560E486-7DD3-76FF-E36B-33A6BD1E1699}</author>
    <author>tc={147F5A19-645E-01C1-65C7-B03C2EF0BEE9}</author>
    <author>tc={DEF3F862-3629-6E72-5F79-297941FD737A}</author>
    <author>tc={E5E291E9-4722-7486-9E64-C8342EBAED14}</author>
    <author>tc={0E8DD476-F765-EC3A-1AE4-FAC3ED6F35C1}</author>
    <author>tc={1B813EF9-B924-12B7-1110-EBA115C70A40}</author>
  </authors>
  <commentList>
    <comment ref="B7"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PYTHON OUTPUT - not recalculated in Excel.
Source: data/processed/forecast_2026.csv.gz
Engine: HistGradientBoostingRegressor in src/pipeline.py
Method: train 2024-2025; out-of-sample 2026; hourly P50 aggregated to annual volume.
Refresh: rerun the Python pipeline, then rebuild this workbook.</t>
      </text>
    </comment>
    <comment ref="B8" authorId="1" shapeId="0" xr:uid="{00000000-0006-0000-0300-000002000000}">
      <text>
        <t>[Threaded comment]
Your version of Excel allows you to read this threaded comment; however, any edits to it will get removed if the file is opened in a newer version of Excel. Learn more: https://go.microsoft.com/fwlink/?linkid=870924
Comment:
    PYTHON OUTPUT - not recalculated in Excel.
Source: data/processed/forecast_2026.csv.gz
Engine: HistGradientBoostingRegressor in src/pipeline.py
Method: calendar, temperature, HDD18, lags J-1/J-7.
Refresh: rerun the Python pipeline, then rebuild this workbook.</t>
      </text>
    </comment>
    <comment ref="C12" authorId="2" shapeId="0" xr:uid="{00000000-0006-0000-0300-000003000000}">
      <text>
        <t>[Threaded comment]
Your version of Excel allows you to read this threaded comment; however, any edits to it will get removed if the file is opened in a newer version of Excel. Learn more: https://go.microsoft.com/fwlink/?linkid=870924
Comment:
    PYTHON OUTPUT - model evaluation metric.
Source: outputs/model_metrics.csv
WMAPE, RMSE and bias are computed by src/pipeline.py and imported as frozen analytical outputs.</t>
      </text>
    </comment>
    <comment ref="C13" authorId="3" shapeId="0" xr:uid="{00000000-0006-0000-0300-000004000000}">
      <text>
        <t>[Threaded comment]
Your version of Excel allows you to read this threaded comment; however, any edits to it will get removed if the file is opened in a newer version of Excel. Learn more: https://go.microsoft.com/fwlink/?linkid=870924
Comment:
    PYTHON OUTPUT - model evaluation metric.
Source: outputs/model_metrics.csv
WMAPE, RMSE and bias are computed by src/pipeline.py and imported as frozen analytical outputs.</t>
      </text>
    </comment>
    <comment ref="C14" authorId="4" shapeId="0" xr:uid="{00000000-0006-0000-0300-000005000000}">
      <text>
        <t>[Threaded comment]
Your version of Excel allows you to read this threaded comment; however, any edits to it will get removed if the file is opened in a newer version of Excel. Learn more: https://go.microsoft.com/fwlink/?linkid=870924
Comment:
    PYTHON OUTPUT - model evaluation metric.
Source: outputs/model_metrics.csv
WMAPE, RMSE and bias are computed by src/pipeline.py and imported as frozen analytical outputs.</t>
      </text>
    </comment>
    <comment ref="C15" authorId="5" shapeId="0" xr:uid="{00000000-0006-0000-0300-000006000000}">
      <text>
        <t>[Threaded comment]
Your version of Excel allows you to read this threaded comment; however, any edits to it will get removed if the file is opened in a newer version of Excel. Learn more: https://go.microsoft.com/fwlink/?linkid=870924
Comment:
    PYTHON OUTPUT - model evaluation metric.
Source: outputs/model_metrics.csv
WMAPE, RMSE and bias are computed by src/pipeline.py and imported as frozen analytical outputs.</t>
      </text>
    </comment>
    <comment ref="C16" authorId="6" shapeId="0" xr:uid="{00000000-0006-0000-0300-000007000000}">
      <text>
        <t>[Threaded comment]
Your version of Excel allows you to read this threaded comment; however, any edits to it will get removed if the file is opened in a newer version of Excel. Learn more: https://go.microsoft.com/fwlink/?linkid=870924
Comment:
    PYTHON OUTPUT - model evaluation metric.
Source: outputs/model_metrics.csv
WMAPE, RMSE and bias are computed by src/pipeline.py and imported as frozen analytical outputs.</t>
      </text>
    </comment>
    <comment ref="C17" authorId="7" shapeId="0" xr:uid="{00000000-0006-0000-0300-000008000000}">
      <text>
        <t>[Threaded comment]
Your version of Excel allows you to read this threaded comment; however, any edits to it will get removed if the file is opened in a newer version of Excel. Learn more: https://go.microsoft.com/fwlink/?linkid=870924
Comment:
    PYTHON OUTPUT - model evaluation metric.
Source: outputs/model_metrics.csv
WMAPE, RMSE and bias are computed by src/pipeline.py and imported as frozen analytical outputs.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tc={7AEF0E7A-E07D-279E-A363-D70C1589AE8E}</author>
    <author>tc={3FDBE7D0-6EEA-B908-76B7-181C0C68AD3C}</author>
    <author>tc={7D874477-003F-08F3-1122-B604826DAAFB}</author>
    <author>tc={DCE4922A-4939-B0A3-1BB8-3E1406062CEC}</author>
    <author>tc={57347A58-B9CC-1E9C-3263-2D972ADBE4F8}</author>
    <author>tc={F6AE6E09-DF34-3988-58DA-E083A8B66482}</author>
    <author>tc={5565CBB4-240C-649D-D903-AD2E59A28C96}</author>
    <author>tc={4506CCA3-76E4-5EBD-2BFB-DE3A2194AB27}</author>
    <author>tc={F19C72C9-DE0F-0476-9DBB-FB44821938AE}</author>
    <author>tc={69BC9843-87B3-6992-DF5A-6BD2DF279BBF}</author>
    <author>tc={2A48F996-1623-953E-7721-3B0B80603B98}</author>
    <author>tc={A324014F-E732-956C-9C68-C314159A1EA3}</author>
  </authors>
  <commentList>
    <comment ref="C7"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PYTHON OUTPUT - not optimized in Excel.
Source: outputs/hedge_strategy.csv and outputs/hedge_frontier.csv
Engine: 20,000 correlated price-temperature-volume scenarios; grid search minimizing expected cost plus CVaR tail penalty.
Excel role: display, reconciliation and weight control only.</t>
      </text>
    </comment>
    <comment ref="E7" authorId="1" shapeId="0" xr:uid="{00000000-0006-0000-0400-000002000000}">
      <text>
        <t>[Threaded comment]
Your version of Excel allows you to read this threaded comment; however, any edits to it will get removed if the file is opened in a newer version of Excel. Learn more: https://go.microsoft.com/fwlink/?linkid=870924
Comment:
    PYTHON OUTPUT - not optimized in Excel.
Source: outputs/hedge_strategy.csv and outputs/hedge_frontier.csv
Engine: 20,000 correlated price-temperature-volume scenarios; grid search minimizing expected cost plus CVaR tail penalty.
Excel role: display, reconciliation and weight control only.</t>
      </text>
    </comment>
    <comment ref="F7" authorId="2" shapeId="0" xr:uid="{00000000-0006-0000-0400-000003000000}">
      <text>
        <t>[Threaded comment]
Your version of Excel allows you to read this threaded comment; however, any edits to it will get removed if the file is opened in a newer version of Excel. Learn more: https://go.microsoft.com/fwlink/?linkid=870924
Comment:
    PYTHON OUTPUT - not optimized in Excel.
Source: outputs/hedge_strategy.csv and outputs/hedge_frontier.csv
Engine: 20,000 correlated price-temperature-volume scenarios; grid search minimizing expected cost plus CVaR tail penalty.
Excel role: display, reconciliation and weight control only.</t>
      </text>
    </comment>
    <comment ref="G7" authorId="3" shapeId="0" xr:uid="{00000000-0006-0000-0400-000004000000}">
      <text>
        <t>[Threaded comment]
Your version of Excel allows you to read this threaded comment; however, any edits to it will get removed if the file is opened in a newer version of Excel. Learn more: https://go.microsoft.com/fwlink/?linkid=870924
Comment:
    PYTHON OUTPUT - not optimized in Excel.
Source: outputs/hedge_strategy.csv and outputs/hedge_frontier.csv
Engine: 20,000 correlated price-temperature-volume scenarios; grid search minimizing expected cost plus CVaR tail penalty.
Excel role: display, reconciliation and weight control only.</t>
      </text>
    </comment>
    <comment ref="H7" authorId="4" shapeId="0" xr:uid="{00000000-0006-0000-0400-000005000000}">
      <text>
        <t>[Threaded comment]
Your version of Excel allows you to read this threaded comment; however, any edits to it will get removed if the file is opened in a newer version of Excel. Learn more: https://go.microsoft.com/fwlink/?linkid=870924
Comment:
    PYTHON OUTPUT - not optimized in Excel.
Source: outputs/hedge_strategy.csv and outputs/hedge_frontier.csv
Engine: 20,000 correlated price-temperature-volume scenarios; grid search minimizing expected cost plus CVaR tail penalty.
Excel role: display, reconciliation and weight control only.</t>
      </text>
    </comment>
    <comment ref="I7" authorId="5" shapeId="0" xr:uid="{00000000-0006-0000-0400-000006000000}">
      <text>
        <t>[Threaded comment]
Your version of Excel allows you to read this threaded comment; however, any edits to it will get removed if the file is opened in a newer version of Excel. Learn more: https://go.microsoft.com/fwlink/?linkid=870924
Comment:
    PYTHON OUTPUT - not optimized in Excel.
Source: outputs/hedge_strategy.csv and outputs/hedge_frontier.csv
Engine: 20,000 correlated price-temperature-volume scenarios; grid search minimizing expected cost plus CVaR tail penalty.
Excel role: display, reconciliation and weight control only.</t>
      </text>
    </comment>
    <comment ref="C8" authorId="6" shapeId="0" xr:uid="{00000000-0006-0000-0400-000007000000}">
      <text>
        <t>[Threaded comment]
Your version of Excel allows you to read this threaded comment; however, any edits to it will get removed if the file is opened in a newer version of Excel. Learn more: https://go.microsoft.com/fwlink/?linkid=870924
Comment:
    PYTHON OUTPUT - not optimized in Excel.
Source: outputs/hedge_strategy.csv and outputs/hedge_frontier.csv
Engine: 20,000 correlated price-temperature-volume scenarios; grid search minimizing expected cost plus CVaR tail penalty.
Excel role: display, reconciliation and weight control only.</t>
      </text>
    </comment>
    <comment ref="E8" authorId="7" shapeId="0" xr:uid="{00000000-0006-0000-0400-000008000000}">
      <text>
        <t>[Threaded comment]
Your version of Excel allows you to read this threaded comment; however, any edits to it will get removed if the file is opened in a newer version of Excel. Learn more: https://go.microsoft.com/fwlink/?linkid=870924
Comment:
    PYTHON OUTPUT - not optimized in Excel.
Source: outputs/hedge_strategy.csv and outputs/hedge_frontier.csv
Engine: 20,000 correlated price-temperature-volume scenarios; grid search minimizing expected cost plus CVaR tail penalty.
Excel role: display, reconciliation and weight control only.</t>
      </text>
    </comment>
    <comment ref="F8" authorId="8" shapeId="0" xr:uid="{00000000-0006-0000-0400-000009000000}">
      <text>
        <t>[Threaded comment]
Your version of Excel allows you to read this threaded comment; however, any edits to it will get removed if the file is opened in a newer version of Excel. Learn more: https://go.microsoft.com/fwlink/?linkid=870924
Comment:
    PYTHON OUTPUT - not optimized in Excel.
Source: outputs/hedge_strategy.csv and outputs/hedge_frontier.csv
Engine: 20,000 correlated price-temperature-volume scenarios; grid search minimizing expected cost plus CVaR tail penalty.
Excel role: display, reconciliation and weight control only.</t>
      </text>
    </comment>
    <comment ref="G8" authorId="9" shapeId="0" xr:uid="{00000000-0006-0000-0400-00000A000000}">
      <text>
        <t>[Threaded comment]
Your version of Excel allows you to read this threaded comment; however, any edits to it will get removed if the file is opened in a newer version of Excel. Learn more: https://go.microsoft.com/fwlink/?linkid=870924
Comment:
    PYTHON OUTPUT - not optimized in Excel.
Source: outputs/hedge_strategy.csv and outputs/hedge_frontier.csv
Engine: 20,000 correlated price-temperature-volume scenarios; grid search minimizing expected cost plus CVaR tail penalty.
Excel role: display, reconciliation and weight control only.</t>
      </text>
    </comment>
    <comment ref="H8" authorId="10" shapeId="0" xr:uid="{00000000-0006-0000-0400-00000B000000}">
      <text>
        <t>[Threaded comment]
Your version of Excel allows you to read this threaded comment; however, any edits to it will get removed if the file is opened in a newer version of Excel. Learn more: https://go.microsoft.com/fwlink/?linkid=870924
Comment:
    PYTHON OUTPUT - not optimized in Excel.
Source: outputs/hedge_strategy.csv and outputs/hedge_frontier.csv
Engine: 20,000 correlated price-temperature-volume scenarios; grid search minimizing expected cost plus CVaR tail penalty.
Excel role: display, reconciliation and weight control only.</t>
      </text>
    </comment>
    <comment ref="I8" authorId="11" shapeId="0" xr:uid="{00000000-0006-0000-0400-00000C000000}">
      <text>
        <t>[Threaded comment]
Your version of Excel allows you to read this threaded comment; however, any edits to it will get removed if the file is opened in a newer version of Excel. Learn more: https://go.microsoft.com/fwlink/?linkid=870924
Comment:
    PYTHON OUTPUT - not optimized in Excel.
Source: outputs/hedge_strategy.csv and outputs/hedge_frontier.csv
Engine: 20,000 correlated price-temperature-volume scenarios; grid search minimizing expected cost plus CVaR tail penalty.
Excel role: display, reconciliation and weight control only.</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tc={BD230BE9-8CBA-CCB0-2430-EC7DF45A5A14}</author>
    <author>tc={F5F8560E-5E8C-C61B-20D5-E79194FA5413}</author>
    <author>tc={E6BB67AB-97CE-D59B-FF5A-9788094A521E}</author>
    <author>tc={F39B8820-A14E-544C-F1E8-C01F0B0DBF17}</author>
  </authors>
  <commentList>
    <comment ref="A7" authorId="0" shapeId="0" xr:uid="{00000000-0006-0000-0700-000001000000}">
      <text>
        <t>[Threaded comment]
Your version of Excel allows you to read this threaded comment; however, any edits to it will get removed if the file is opened in a newer version of Excel. Learn more: https://go.microsoft.com/fwlink/?linkid=870924
Comment:
    PYTHON OUTPUT - Monte Carlo risk result.
Source: outputs/risk_summary.csv and data/processed/risk_losses_*.csv.gz
Method: correlated price, temperature and volume shocks; VaR/CVaR at 95%; 20,000 scenarios.
Excel role: downstream costing through linked formulas.</t>
      </text>
    </comment>
    <comment ref="A8" authorId="1" shapeId="0" xr:uid="{00000000-0006-0000-0700-000002000000}">
      <text>
        <t>[Threaded comment]
Your version of Excel allows you to read this threaded comment; however, any edits to it will get removed if the file is opened in a newer version of Excel. Learn more: https://go.microsoft.com/fwlink/?linkid=870924
Comment:
    PYTHON OUTPUT - Monte Carlo risk result.
Source: outputs/risk_summary.csv and data/processed/risk_losses_*.csv.gz
Method: correlated price, temperature and volume shocks; VaR/CVaR at 95%; 20,000 scenarios.
Excel role: downstream costing through linked formulas.</t>
      </text>
    </comment>
    <comment ref="A13" authorId="2" shapeId="0" xr:uid="{00000000-0006-0000-0700-000003000000}">
      <text>
        <t>[Threaded comment]
Your version of Excel allows you to read this threaded comment; however, any edits to it will get removed if the file is opened in a newer version of Excel. Learn more: https://go.microsoft.com/fwlink/?linkid=870924
Comment:
    PYTHON OUTPUT - statistical backtest.
Source: outputs/backtest_summary.csv and outputs/backtest_detail.csv
Method: parametric threshold vs empirical P95 floor; Kupiec unconditional coverage test.
Excel role: presentation and controls, not statistical recalculation.</t>
      </text>
    </comment>
    <comment ref="A14" authorId="3" shapeId="0" xr:uid="{00000000-0006-0000-0700-000004000000}">
      <text>
        <t>[Threaded comment]
Your version of Excel allows you to read this threaded comment; however, any edits to it will get removed if the file is opened in a newer version of Excel. Learn more: https://go.microsoft.com/fwlink/?linkid=870924
Comment:
    PYTHON OUTPUT - statistical backtest.
Source: outputs/backtest_summary.csv and outputs/backtest_detail.csv
Method: parametric threshold vs empirical P95 floor; Kupiec unconditional coverage test.
Excel role: presentation and controls, not statistical recalculation.</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tc={216F5D17-8211-FEDE-99B2-C3C4E6727CB2}</author>
    <author>tc={9245776D-8F59-0F62-7A75-43A8C1E78DCC}</author>
    <author>tc={497520BD-B701-23D9-4E9E-33523FD96065}</author>
    <author>tc={9324AB09-EC53-6055-7A09-D761A9A7660D}</author>
    <author>tc={B4980BE5-F942-335A-5692-16818F02C890}</author>
    <author>tc={FDE88893-E0AE-743A-ADDF-D401799E9925}</author>
    <author>tc={5C34EFCF-7D85-6BAE-E068-83D7910C2459}</author>
    <author>tc={132E9409-3B27-6164-59B1-5D96F5505133}</author>
  </authors>
  <commentList>
    <comment ref="C7"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HYBRID OUTPUT.
Procurement architecture generated in Python and imported from outputs/offer_simulator.csv.
The indicative price in column F is recalculated in Excel as procurement cost + commercial margin.
Offer: Essentiel Fixe</t>
      </text>
    </comment>
    <comment ref="C8" authorId="1" shapeId="0" xr:uid="{00000000-0006-0000-0800-000002000000}">
      <text>
        <t>[Threaded comment]
Your version of Excel allows you to read this threaded comment; however, any edits to it will get removed if the file is opened in a newer version of Excel. Learn more: https://go.microsoft.com/fwlink/?linkid=870924
Comment:
    HYBRID OUTPUT.
Procurement architecture generated in Python and imported from outputs/offer_simulator.csv.
The indicative price in column F is recalculated in Excel as procurement cost + commercial margin.
Offer: Flex Mobilite</t>
      </text>
    </comment>
    <comment ref="C9" authorId="2" shapeId="0" xr:uid="{00000000-0006-0000-0800-000003000000}">
      <text>
        <t>[Threaded comment]
Your version of Excel allows you to read this threaded comment; however, any edits to it will get removed if the file is opened in a newer version of Excel. Learn more: https://go.microsoft.com/fwlink/?linkid=870924
Comment:
    HYBRID OUTPUT.
Procurement architecture generated in Python and imported from outputs/offer_simulator.csv.
The indicative price in column F is recalculated in Excel as procurement cost + commercial margin.
Offer: Dynamique 15 min</t>
      </text>
    </comment>
    <comment ref="C10" authorId="3" shapeId="0" xr:uid="{00000000-0006-0000-0800-000004000000}">
      <text>
        <t>[Threaded comment]
Your version of Excel allows you to read this threaded comment; however, any edits to it will get removed if the file is opened in a newer version of Excel. Learn more: https://go.microsoft.com/fwlink/?linkid=870924
Comment:
    HYBRID OUTPUT.
Procurement architecture generated in Python and imported from outputs/offer_simulator.csv.
The indicative price in column F is recalculated in Excel as procurement cost + commercial margin.
Offer: PPA Solaire Entreprise</t>
      </text>
    </comment>
    <comment ref="C11" authorId="4" shapeId="0" xr:uid="{00000000-0006-0000-0800-000005000000}">
      <text>
        <t>[Threaded comment]
Your version of Excel allows you to read this threaded comment; however, any edits to it will get removed if the file is opened in a newer version of Excel. Learn more: https://go.microsoft.com/fwlink/?linkid=870924
Comment:
    HYBRID OUTPUT.
Procurement architecture generated in Python and imported from outputs/offer_simulator.csv.
The indicative price in column F is recalculated in Excel as procurement cost + commercial margin.
Offer: Autoconsommation Residuelle</t>
      </text>
    </comment>
    <comment ref="C12" authorId="5" shapeId="0" xr:uid="{00000000-0006-0000-0800-000006000000}">
      <text>
        <t>[Threaded comment]
Your version of Excel allows you to read this threaded comment; however, any edits to it will get removed if the file is opened in a newer version of Excel. Learn more: https://go.microsoft.com/fwlink/?linkid=870924
Comment:
    HYBRID OUTPUT.
Procurement architecture generated in Python and imported from outputs/offer_simulator.csv.
The indicative price in column F is recalculated in Excel as procurement cost + commercial margin.
Offer: Gaz Fixe Serenite</t>
      </text>
    </comment>
    <comment ref="C13" authorId="6" shapeId="0" xr:uid="{00000000-0006-0000-0800-000007000000}">
      <text>
        <t>[Threaded comment]
Your version of Excel allows you to read this threaded comment; however, any edits to it will get removed if the file is opened in a newer version of Excel. Learn more: https://go.microsoft.com/fwlink/?linkid=870924
Comment:
    HYBRID OUTPUT.
Procurement architecture generated in Python and imported from outputs/offer_simulator.csv.
The indicative price in column F is recalculated in Excel as procurement cost + commercial margin.
Offer: Gaz Indexe PEG</t>
      </text>
    </comment>
    <comment ref="C14" authorId="7" shapeId="0" xr:uid="{00000000-0006-0000-0800-000008000000}">
      <text>
        <t>[Threaded comment]
Your version of Excel allows you to read this threaded comment; however, any edits to it will get removed if the file is opened in a newer version of Excel. Learn more: https://go.microsoft.com/fwlink/?linkid=870924
Comment:
    HYBRID OUTPUT.
Procurement architecture generated in Python and imported from outputs/offer_simulator.csv.
The indicative price in column F is recalculated in Excel as procurement cost + commercial margin.
Offer: Gaz Vert 10%</t>
      </text>
    </comment>
  </commentList>
</comments>
</file>

<file path=xl/sharedStrings.xml><?xml version="1.0" encoding="utf-8"?>
<sst xmlns="http://schemas.openxmlformats.org/spreadsheetml/2006/main" count="660" uniqueCount="435">
  <si>
    <t>FRENCH ENERGY PORTFOLIO COST &amp; RISK ENGINE</t>
  </si>
  <si>
    <t>Projet personnel independant | Version 1.0 | 11 juillet 2026</t>
  </si>
  <si>
    <t>Costing, couverture et risque d'un portefeuille synthetique gaz et electricite en France metropolitaine continentale.</t>
  </si>
  <si>
    <t>KPI</t>
  </si>
  <si>
    <t>Valeur</t>
  </si>
  <si>
    <t>Lecture</t>
  </si>
  <si>
    <t>Sites synthetiques</t>
  </si>
  <si>
    <t>245k electricite + 92k gaz</t>
  </si>
  <si>
    <t>Volume annuel (TWh)</t>
  </si>
  <si>
    <t>1.599 electricite + 1.092 gaz</t>
  </si>
  <si>
    <t>Budget annuel (MEUR)</t>
  </si>
  <si>
    <t>Hors reseau et taxes</t>
  </si>
  <si>
    <t>Scenarios de risque</t>
  </si>
  <si>
    <t>Prix, temperature, volume</t>
  </si>
  <si>
    <t>MODEL NAVIGATION</t>
  </si>
  <si>
    <t>COLOR CODE</t>
  </si>
  <si>
    <t>Inputs</t>
  </si>
  <si>
    <t>03 Assumptions</t>
  </si>
  <si>
    <t>Hypotheses editables en bleu</t>
  </si>
  <si>
    <t>Bleu</t>
  </si>
  <si>
    <t>Hypothese editable</t>
  </si>
  <si>
    <t>Demand</t>
  </si>
  <si>
    <t>04 Forecast</t>
  </si>
  <si>
    <t>Performance et volumes</t>
  </si>
  <si>
    <t>Noir</t>
  </si>
  <si>
    <t>Formule / calcul</t>
  </si>
  <si>
    <t>Sourcing</t>
  </si>
  <si>
    <t>05 Hedge Strategy</t>
  </si>
  <si>
    <t>Poids et contraintes</t>
  </si>
  <si>
    <t>Vert</t>
  </si>
  <si>
    <t>Lien interne</t>
  </si>
  <si>
    <t>Costing</t>
  </si>
  <si>
    <t>06 Cost Stack / 07 Budget</t>
  </si>
  <si>
    <t>Empilement et mensualisation</t>
  </si>
  <si>
    <t>Rouge</t>
  </si>
  <si>
    <t>Lien externe</t>
  </si>
  <si>
    <t>Risk</t>
  </si>
  <si>
    <t>08 Risk Backtest</t>
  </si>
  <si>
    <t>VaR, CVaR et recalibrage</t>
  </si>
  <si>
    <t>Jaune</t>
  </si>
  <si>
    <t>Input a revoir / mettre a jour</t>
  </si>
  <si>
    <t>Commercial</t>
  </si>
  <si>
    <t>09 Offer Simulator</t>
  </si>
  <si>
    <t>Architectures d'offres</t>
  </si>
  <si>
    <t>Lineage</t>
  </si>
  <si>
    <t>12 Data Lineage</t>
  </si>
  <si>
    <t>Python outputs vs Excel formulas</t>
  </si>
  <si>
    <t>Convention: les prix sont exprimes hors acheminement final, taxes et couts commerciaux, sauf mention contraire. Les donnees de portefeuille sont synthetiques; les ancrages publics sont cites dans 10 Sources &amp; Audit.</t>
  </si>
  <si>
    <t>EXECUTIVE DASHBOARD</t>
  </si>
  <si>
    <t>Outputs calcules et reconciliations principales</t>
  </si>
  <si>
    <t>Cout complet electricite</t>
  </si>
  <si>
    <t>Cout complet gaz</t>
  </si>
  <si>
    <t>Budget 2026</t>
  </si>
  <si>
    <t>Model status</t>
  </si>
  <si>
    <t>MONTHLY BUDGET AND OFFER PRICING</t>
  </si>
  <si>
    <t>Mois</t>
  </si>
  <si>
    <t>Electricite MEUR</t>
  </si>
  <si>
    <t>Gaz MEUR</t>
  </si>
  <si>
    <t>KEY RISK AND MODEL METRICS</t>
  </si>
  <si>
    <t>Indicateur</t>
  </si>
  <si>
    <t>Electricite</t>
  </si>
  <si>
    <t>Gaz</t>
  </si>
  <si>
    <t>WMAPE</t>
  </si>
  <si>
    <t>Gradient Boosting 2026</t>
  </si>
  <si>
    <t>VaR95 (MEUR)</t>
  </si>
  <si>
    <t>20 000 scenarios</t>
  </si>
  <si>
    <t>CVaR95 (MEUR)</t>
  </si>
  <si>
    <t>Queue moyenne</t>
  </si>
  <si>
    <t>Mark-up (EUR/MWh)</t>
  </si>
  <si>
    <t>VaR / volume</t>
  </si>
  <si>
    <t>Exceptions finales</t>
  </si>
  <si>
    <t>36 mois</t>
  </si>
  <si>
    <t>MODEL ASSUMPTIONS</t>
  </si>
  <si>
    <t>Blue font = editable input | Yellow fill = review required</t>
  </si>
  <si>
    <t>CORE MODEL CONVENTIONS</t>
  </si>
  <si>
    <t>Valuation date</t>
  </si>
  <si>
    <t>2026-07-11</t>
  </si>
  <si>
    <t>Delivery year</t>
  </si>
  <si>
    <t>Currency</t>
  </si>
  <si>
    <t>EUR</t>
  </si>
  <si>
    <t>Geography</t>
  </si>
  <si>
    <t>France metropolitaine continentale</t>
  </si>
  <si>
    <t>Risk confidence</t>
  </si>
  <si>
    <t>EDITABLE COST AND RISK DRIVERS</t>
  </si>
  <si>
    <t>Driver</t>
  </si>
  <si>
    <t>Value</t>
  </si>
  <si>
    <t>Unit</t>
  </si>
  <si>
    <t>Source / rationale</t>
  </si>
  <si>
    <t>Electricity green share</t>
  </si>
  <si>
    <t>%</t>
  </si>
  <si>
    <t>Scenario portfolio</t>
  </si>
  <si>
    <t>Electricity GO price</t>
  </si>
  <si>
    <t>EUR/MWh</t>
  </si>
  <si>
    <t>Scenario</t>
  </si>
  <si>
    <t>Capacity price</t>
  </si>
  <si>
    <t>EUR/MW</t>
  </si>
  <si>
    <t>CRE 2026</t>
  </si>
  <si>
    <t>CPB obligation coefficient</t>
  </si>
  <si>
    <t>cert./MWh PCS</t>
  </si>
  <si>
    <t>Legifrance 2026</t>
  </si>
  <si>
    <t>CPB certificate price</t>
  </si>
  <si>
    <t>EUR/cert.</t>
  </si>
  <si>
    <t>Gas CPB eligible share</t>
  </si>
  <si>
    <t>Gas green share</t>
  </si>
  <si>
    <t>Biomethane GO price</t>
  </si>
  <si>
    <t>EUR/GO</t>
  </si>
  <si>
    <t>Gas transport &amp; storage</t>
  </si>
  <si>
    <t>Electricity imbalance</t>
  </si>
  <si>
    <t>Gas imbalance</t>
  </si>
  <si>
    <t>Electricity market &amp; financing</t>
  </si>
  <si>
    <t>CRE fees + scenario</t>
  </si>
  <si>
    <t>Gas market &amp; financing</t>
  </si>
  <si>
    <t>Commercial margin</t>
  </si>
  <si>
    <t>Electricity peak reference</t>
  </si>
  <si>
    <t>MW</t>
  </si>
  <si>
    <t>Model output</t>
  </si>
  <si>
    <t>LOAD FORECASTING</t>
  </si>
  <si>
    <t>Out-of-sample test: train 2024-2025 | validation 2026</t>
  </si>
  <si>
    <t>PORTFOLIO VOLUME OUTPUTS</t>
  </si>
  <si>
    <t>Metric</t>
  </si>
  <si>
    <t>Electricity forecast (MWh)</t>
  </si>
  <si>
    <t>Gas forecast (MWh)</t>
  </si>
  <si>
    <t>MODEL PERFORMANCE</t>
  </si>
  <si>
    <t>Energy</t>
  </si>
  <si>
    <t>Model</t>
  </si>
  <si>
    <t>RMSE MWh</t>
  </si>
  <si>
    <t>Bias</t>
  </si>
  <si>
    <t>Naif J-7</t>
  </si>
  <si>
    <t>Regression Ridge</t>
  </si>
  <si>
    <t>Gradient Boosting</t>
  </si>
  <si>
    <t>Method: cyclical calendar features, weekday/weekend, holidays, temperature, HDD18, CDD22, lag J-1 and J-7. WMAPE is the primary decision metric; RMSE and bias remain control metrics.</t>
  </si>
  <si>
    <t>SOURCING &amp; HEDGE STRATEGY</t>
  </si>
  <si>
    <t>Grid optimisation: expected cost + risk aversion x CVaR tail</t>
  </si>
  <si>
    <t>SELECTED STRATEGIES</t>
  </si>
  <si>
    <t>Product 1</t>
  </si>
  <si>
    <t>Weight 1</t>
  </si>
  <si>
    <t>Product 2</t>
  </si>
  <si>
    <t>Weight 2</t>
  </si>
  <si>
    <t>Residual</t>
  </si>
  <si>
    <t>Expected cost</t>
  </si>
  <si>
    <t>VaR95</t>
  </si>
  <si>
    <t>CVaR95</t>
  </si>
  <si>
    <t>Weight check</t>
  </si>
  <si>
    <t>Cal Base</t>
  </si>
  <si>
    <t>Cal Peak</t>
  </si>
  <si>
    <t>Quarter-ahead</t>
  </si>
  <si>
    <t>Month-ahead</t>
  </si>
  <si>
    <t>CONSTRAINTS AND DECISION RULE</t>
  </si>
  <si>
    <t>Constraint</t>
  </si>
  <si>
    <t>Electricity</t>
  </si>
  <si>
    <t>Gas</t>
  </si>
  <si>
    <t>Rationale</t>
  </si>
  <si>
    <t>Minimum hedge</t>
  </si>
  <si>
    <t>Avoid excessive spot exposure</t>
  </si>
  <si>
    <t>Maximum hedge</t>
  </si>
  <si>
    <t>Keep room for shape and volume</t>
  </si>
  <si>
    <t>Risk metric</t>
  </si>
  <si>
    <t>Tail severity</t>
  </si>
  <si>
    <t>Scenarios</t>
  </si>
  <si>
    <t>Correlated price, temperature and volume</t>
  </si>
  <si>
    <t>COST STACK</t>
  </si>
  <si>
    <t>Formula-driven build-up from assumptions, sourcing and risk</t>
  </si>
  <si>
    <t>ELECTRICITY COST STACK</t>
  </si>
  <si>
    <t>Component</t>
  </si>
  <si>
    <t>Formula / source</t>
  </si>
  <si>
    <t>Class</t>
  </si>
  <si>
    <t>Energy hedge + residual</t>
  </si>
  <si>
    <t>Hedge optimisation</t>
  </si>
  <si>
    <t>Capacity</t>
  </si>
  <si>
    <t>Peak MW x EUR/MW / annual MWh</t>
  </si>
  <si>
    <t>Public + model</t>
  </si>
  <si>
    <t>Guarantees of origin</t>
  </si>
  <si>
    <t>Green share x GO price</t>
  </si>
  <si>
    <t>Assumption</t>
  </si>
  <si>
    <t>Imbalance</t>
  </si>
  <si>
    <t>Public</t>
  </si>
  <si>
    <t>Market &amp; financing</t>
  </si>
  <si>
    <t>Fees + financing</t>
  </si>
  <si>
    <t>Mixed</t>
  </si>
  <si>
    <t>Risk mark-up</t>
  </si>
  <si>
    <t>VaR95 / volume</t>
  </si>
  <si>
    <t>TOTAL ELECTRICITY</t>
  </si>
  <si>
    <t>Dashboard link - electricity</t>
  </si>
  <si>
    <t>GAS COST STACK</t>
  </si>
  <si>
    <t>PEG hedge + residual</t>
  </si>
  <si>
    <t>Transport &amp; storage</t>
  </si>
  <si>
    <t>CPB obligation</t>
  </si>
  <si>
    <t>Coefficient x price x eligible share</t>
  </si>
  <si>
    <t>Regulatory + assumption</t>
  </si>
  <si>
    <t>Biomethane GO</t>
  </si>
  <si>
    <t>Public + assumption</t>
  </si>
  <si>
    <t>Operational provision</t>
  </si>
  <si>
    <t>TOTAL GAS</t>
  </si>
  <si>
    <t>Dashboard link - gas</t>
  </si>
  <si>
    <t>MONTHLY PROCUREMENT BUDGET</t>
  </si>
  <si>
    <t>Volumes and market references are imported outputs; cost columns are formulas</t>
  </si>
  <si>
    <t>2026 BUDGET</t>
  </si>
  <si>
    <t>Month</t>
  </si>
  <si>
    <t>Elec volume MWh</t>
  </si>
  <si>
    <t>Gas volume MWh</t>
  </si>
  <si>
    <t>Elec cost MEUR</t>
  </si>
  <si>
    <t>Gas cost MEUR</t>
  </si>
  <si>
    <t>Total MEUR</t>
  </si>
  <si>
    <t>M1</t>
  </si>
  <si>
    <t>M2</t>
  </si>
  <si>
    <t>M3</t>
  </si>
  <si>
    <t>M4</t>
  </si>
  <si>
    <t>M5</t>
  </si>
  <si>
    <t>M6</t>
  </si>
  <si>
    <t>M7</t>
  </si>
  <si>
    <t>M8</t>
  </si>
  <si>
    <t>M9</t>
  </si>
  <si>
    <t>M10</t>
  </si>
  <si>
    <t>M11</t>
  </si>
  <si>
    <t>M12</t>
  </si>
  <si>
    <t>TOTAL</t>
  </si>
  <si>
    <t>RISK &amp; BACKTESTING</t>
  </si>
  <si>
    <t>VaR/CVaR 95% and monthly provision calibration</t>
  </si>
  <si>
    <t>RISK SUMMARY</t>
  </si>
  <si>
    <t>Volume MWh</t>
  </si>
  <si>
    <t>Expected cost MEUR</t>
  </si>
  <si>
    <t>VaR95 MEUR</t>
  </si>
  <si>
    <t>CVaR95 MEUR</t>
  </si>
  <si>
    <t>Mark-up EUR/MWh</t>
  </si>
  <si>
    <t>Coverage</t>
  </si>
  <si>
    <t>BACKTEST SUMMARY</t>
  </si>
  <si>
    <t>N</t>
  </si>
  <si>
    <t>Raw exceptions</t>
  </si>
  <si>
    <t>Raw rate</t>
  </si>
  <si>
    <t>Raw Kupiec p</t>
  </si>
  <si>
    <t>Final exceptions</t>
  </si>
  <si>
    <t>Final rate</t>
  </si>
  <si>
    <t>Final Kupiec p</t>
  </si>
  <si>
    <t>Mean provision kEUR</t>
  </si>
  <si>
    <t>Mean realised kEUR</t>
  </si>
  <si>
    <t>MONTHLY BACKTEST DETAIL</t>
  </si>
  <si>
    <t>Period</t>
  </si>
  <si>
    <t>Forecast MWh</t>
  </si>
  <si>
    <t>Actual MWh</t>
  </si>
  <si>
    <t>Raw provision EUR</t>
  </si>
  <si>
    <t>Final provision EUR</t>
  </si>
  <si>
    <t>Realised risk EUR</t>
  </si>
  <si>
    <t>Exception</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</si>
  <si>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</si>
  <si>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</si>
  <si>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</si>
  <si>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</si>
  <si>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</si>
  <si>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</si>
  <si>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</si>
  <si>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</si>
  <si>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</si>
  <si>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</si>
  <si>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</si>
  <si>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</si>
  <si>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</si>
  <si>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</si>
  <si>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</si>
  <si>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</si>
  <si>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</si>
  <si>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</si>
  <si>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</si>
  <si>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</si>
  <si>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</si>
  <si>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</si>
  <si>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</si>
  <si>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</si>
  <si>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t>2026-01</t>
  </si>
  <si>
    <t>2026-02</t>
  </si>
  <si>
    <t>2026-03</t>
  </si>
  <si>
    <t>2026-04</t>
  </si>
  <si>
    <t>2026-05</t>
  </si>
  <si>
    <t>2026-06</t>
  </si>
  <si>
    <t>2026-07</t>
  </si>
  <si>
    <t>2026-08</t>
  </si>
  <si>
    <t>2026-09</t>
  </si>
  <si>
    <t>2026-10</t>
  </si>
  <si>
    <t>2026-11</t>
  </si>
  <si>
    <t>2026-12</t>
  </si>
  <si>
    <t>OFFER DESIGN SIMULATOR</t>
  </si>
  <si>
    <t>Indicative architecture comparison - excluding network and taxes</t>
  </si>
  <si>
    <t>OFFER OUTPUTS</t>
  </si>
  <si>
    <t>Offer</t>
  </si>
  <si>
    <t>Procurement cost</t>
  </si>
  <si>
    <t>Indicative price</t>
  </si>
  <si>
    <t>Price check</t>
  </si>
  <si>
    <t>Design note</t>
  </si>
  <si>
    <t>Essentiel Fixe</t>
  </si>
  <si>
    <t>Couverture 85-95%; prix stable</t>
  </si>
  <si>
    <t>Flex Mobilite</t>
  </si>
  <si>
    <t>Deplacement de 12% des pointes du soir</t>
  </si>
  <si>
    <t>Dynamique 15 min</t>
  </si>
  <si>
    <t>Signal spot; garde-fous et pilotage requis</t>
  </si>
  <si>
    <t>PPA Solaire Entreprise</t>
  </si>
  <si>
    <t>45% PPA + residuel marche</t>
  </si>
  <si>
    <t>Autoconsommation Residuelle</t>
  </si>
  <si>
    <t>Cout unitaire residuel plus eleve; volume reseau -22%</t>
  </si>
  <si>
    <t>Gaz Fixe Serenite</t>
  </si>
  <si>
    <t>Couverture QA/MA + CPB</t>
  </si>
  <si>
    <t>Gaz Indexe PEG</t>
  </si>
  <si>
    <t>Indexation PEG; risque prix transfere</t>
  </si>
  <si>
    <t>Gaz Vert 10%</t>
  </si>
  <si>
    <t>10% GO biomethane</t>
  </si>
  <si>
    <t>DECISION NOTES</t>
  </si>
  <si>
    <t>Flex EV shifts 12% of evening peak demand without changing annual energy. The PPA case covers 45% at 52 EUR/MWh and preserves a profile-risk premium. Autoconsumption reduces grid volume by 22% but increases the residual unit cost: total bill and EUR/MWh must be read together.</t>
  </si>
  <si>
    <t>SOURCES &amp; AUDIT TRAIL</t>
  </si>
  <si>
    <t>Public anchors consulted on 11 July 2026</t>
  </si>
  <si>
    <t>PUBLIC SOURCES</t>
  </si>
  <si>
    <t>Source</t>
  </si>
  <si>
    <t>Use</t>
  </si>
  <si>
    <t>URL</t>
  </si>
  <si>
    <t>As of</t>
  </si>
  <si>
    <t>Type</t>
  </si>
  <si>
    <t>CRE - TRVE 2026</t>
  </si>
  <si>
    <t>TRVE energy, capacity and imbalance</t>
  </si>
  <si>
    <t>https://www.cre.fr/fileadmin/Documents/Deliberations/2026/260114_2026-06_TRVE_2026.pdf</t>
  </si>
  <si>
    <t>CRE - Methode TRVE 2026</t>
  </si>
  <si>
    <t>PFC and market fees</t>
  </si>
  <si>
    <t>https://www.cre.fr/fileadmin/Documents/Deliberations/2026/260114_2026-06_TRVE_2026_Annexe_A.pdf</t>
  </si>
  <si>
    <t>RTE - Bilan electrique 2025</t>
  </si>
  <si>
    <t>Spot shape and 15-minute transition</t>
  </si>
  <si>
    <t>https://analysesetdonnees.rte-france.com/bilan-electrique-2025/prix</t>
  </si>
  <si>
    <t>RTE - Mecanisme de capacite 2026/2027</t>
  </si>
  <si>
    <t>Capacity mechanism 2026/27</t>
  </si>
  <si>
    <t>https://assets.rte-france.com/prod/public/2026-02/2026-02-12-rapport-parametrage-mecanisme-capacite.pdf</t>
  </si>
  <si>
    <t>Legifrance - CPB 2026-2028</t>
  </si>
  <si>
    <t>CPB obligation 2026-2028</t>
  </si>
  <si>
    <t>https://www.legifrance.gouv.fr/codes/id/LEGIARTI000054130636/2026-05-25</t>
  </si>
  <si>
    <t>CRE - Charges energie 2026</t>
  </si>
  <si>
    <t>PEG monthly and biomethane GO</t>
  </si>
  <si>
    <t>https://www.cre.fr/fileadmin/Documents/Deliberations/2025/250710_2025-180_CSPE_2025-2026_Annexe_1.pdf</t>
  </si>
  <si>
    <t>MODEL INPUT CLASSIFICATION</t>
  </si>
  <si>
    <t>Definition</t>
  </si>
  <si>
    <t>Example</t>
  </si>
  <si>
    <t>Treatment</t>
  </si>
  <si>
    <t>Direct official anchor</t>
  </si>
  <si>
    <t>63.9 EUR/MWh Cal Base</t>
  </si>
  <si>
    <t>Cited and dated</t>
  </si>
  <si>
    <t>Editable scenario value</t>
  </si>
  <si>
    <t>95 EUR/CPB</t>
  </si>
  <si>
    <t>Blue input</t>
  </si>
  <si>
    <t>Calculated output</t>
  </si>
  <si>
    <t>VaR95 mark-up</t>
  </si>
  <si>
    <t>Black formula / output</t>
  </si>
  <si>
    <t>Synthetic data</t>
  </si>
  <si>
    <t>Fictitious portfolio observation</t>
  </si>
  <si>
    <t>Hourly load</t>
  </si>
  <si>
    <t>Never presented as proprietary</t>
  </si>
  <si>
    <t>MODEL CHECKS</t>
  </si>
  <si>
    <t>One assertion per row; PASS only when every required control passes</t>
  </si>
  <si>
    <t>MODEL STATUS</t>
  </si>
  <si>
    <t>Check</t>
  </si>
  <si>
    <t>Actual</t>
  </si>
  <si>
    <t>Expected</t>
  </si>
  <si>
    <t>Difference</t>
  </si>
  <si>
    <t>Tolerance</t>
  </si>
  <si>
    <t>Status</t>
  </si>
  <si>
    <t>Where to fix</t>
  </si>
  <si>
    <t>Electricity weights sum</t>
  </si>
  <si>
    <t>Gas weights sum</t>
  </si>
  <si>
    <t>Electricity cost positive</t>
  </si>
  <si>
    <t>06 Cost Stack</t>
  </si>
  <si>
    <t>Gas cost positive</t>
  </si>
  <si>
    <t>Budget reconciles</t>
  </si>
  <si>
    <t>07 Monthly Budget</t>
  </si>
  <si>
    <t>Offer prices reconcile</t>
  </si>
  <si>
    <t>Kupiec final p-values</t>
  </si>
  <si>
    <t>DATA LINEAGE &amp; CALCULATION BOUNDARIES</t>
  </si>
  <si>
    <t>Explicit separation between Python analytics, public inputs and Excel calculations</t>
  </si>
  <si>
    <t>CALCULATION OWNERSHIP</t>
  </si>
  <si>
    <t>Block</t>
  </si>
  <si>
    <t>Engine</t>
  </si>
  <si>
    <t>Primary source</t>
  </si>
  <si>
    <t>Method / formula</t>
  </si>
  <si>
    <t>Excel treatment</t>
  </si>
  <si>
    <t>Refresh action</t>
  </si>
  <si>
    <t>Audit status</t>
  </si>
  <si>
    <t>Synthetic portfolio</t>
  </si>
  <si>
    <t>Python</t>
  </si>
  <si>
    <t>data/raw/synthetic_interval_portfolio.csv.gz</t>
  </si>
  <si>
    <t>Hourly calendar + HDD/CDD + AR(1)</t>
  </si>
  <si>
    <t>Imported values</t>
  </si>
  <si>
    <t>Rerun src.pipeline --stage data</t>
  </si>
  <si>
    <t>DOCUMENTED</t>
  </si>
  <si>
    <t>Load forecast</t>
  </si>
  <si>
    <t>Python / scikit-learn</t>
  </si>
  <si>
    <t>data/processed/forecast_2026.csv.gz</t>
  </si>
  <si>
    <t>Gradient Boosting P50, P10, P90</t>
  </si>
  <si>
    <t>Imported output; commented</t>
  </si>
  <si>
    <t>Rerun src.pipeline --stage model</t>
  </si>
  <si>
    <t>Forecast metrics</t>
  </si>
  <si>
    <t>outputs/model_metrics.csv</t>
  </si>
  <si>
    <t>WMAPE, RMSE, bias</t>
  </si>
  <si>
    <t>Rerun model stage</t>
  </si>
  <si>
    <t>Hedge strategy</t>
  </si>
  <si>
    <t>outputs/hedge_frontier.csv</t>
  </si>
  <si>
    <t>20k scenarios; mean-CVaR grid search</t>
  </si>
  <si>
    <t>Imported optimum; Excel weight check</t>
  </si>
  <si>
    <t>Risk summary</t>
  </si>
  <si>
    <t>outputs/risk_summary.csv</t>
  </si>
  <si>
    <t>VaR95, CVaR95, mark-up</t>
  </si>
  <si>
    <t>Imported output; linked to Cost Stack</t>
  </si>
  <si>
    <t>Backtesting</t>
  </si>
  <si>
    <t>Python / SciPy</t>
  </si>
  <si>
    <t>outputs/backtest_detail.csv</t>
  </si>
  <si>
    <t>Empirical P95 floor + Kupiec test</t>
  </si>
  <si>
    <t>Imported statistical output</t>
  </si>
  <si>
    <t>Cost stack</t>
  </si>
  <si>
    <t>Excel</t>
  </si>
  <si>
    <t>03 Assumptions + Python outputs</t>
  </si>
  <si>
    <t>Visible cross-sheet formulas</t>
  </si>
  <si>
    <t>Fully formula-driven</t>
  </si>
  <si>
    <t>Edit assumptions or refresh Python</t>
  </si>
  <si>
    <t>FORMULA</t>
  </si>
  <si>
    <t>Monthly budget</t>
  </si>
  <si>
    <t>07 volumes + 06 Cost Stack</t>
  </si>
  <si>
    <t>Volume x unit cost by month</t>
  </si>
  <si>
    <t>Offer price</t>
  </si>
  <si>
    <t>09 procurement output + margin</t>
  </si>
  <si>
    <t>Procurement cost + margin</t>
  </si>
  <si>
    <t>Formula-driven price and check</t>
  </si>
  <si>
    <t>Edit margin or refresh Python</t>
  </si>
  <si>
    <t>Executive dashboard</t>
  </si>
  <si>
    <t>Linked model sheets</t>
  </si>
  <si>
    <t>Cross-sheet KPI links</t>
  </si>
  <si>
    <t>Fully formula-linked</t>
  </si>
  <si>
    <t>Automatic</t>
  </si>
  <si>
    <t>Public anchors</t>
  </si>
  <si>
    <t>Manual / official</t>
  </si>
  <si>
    <t>10 Sources &amp; Audit</t>
  </si>
  <si>
    <t>CRE, RTE, Legifrance values</t>
  </si>
  <si>
    <t>Editable, dated assumptions</t>
  </si>
  <si>
    <t>Validate source date</t>
  </si>
  <si>
    <t>BOUNDARY PRINCIPLE</t>
  </si>
  <si>
    <t>Excel recalculates the transparent business logic that is appropriate for a financial model: aggregations, cost build-up, monthly budget, offer pricing and controls. Machine-learning forecasts, Monte Carlo simulations, CVaR optimization and statistical tests remain in Python because recreating them as spreadsheet formulas would reduce robustness and auditability. Every imported analytical output is identified by source, engine and refresh 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</si>
</sst>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 &quot;EUR/MWh&quot;"/>
    <numFmt numFmtId="166" formatCode="0.00\ &quot;MEUR&quot;"/>
    <numFmt numFmtId="167" formatCode="0.0%"/>
    <numFmt numFmtId="168" formatCode="0.0"/>
  </numFmts>
  <fonts count="19">
    <font>
      <sz val="11"/>
      <name val="Carlito"/>
    </font>
    <font>
      <i/>
      <sz val="9"/>
      <color rgb="FF52657B"/>
      <name val="Aptos"/>
    </font>
    <font>
      <b/>
      <sz val="20"/>
      <color rgb="FFFFFFFF"/>
      <name val="Aptos"/>
    </font>
    <font>
      <sz val="11"/>
      <name val="Aptos"/>
    </font>
    <font>
      <b/>
      <sz val="13"/>
      <color rgb="FF102A43"/>
      <name val="Aptos"/>
    </font>
    <font>
      <b/>
      <sz val="9"/>
      <color rgb="FFFFFFFF"/>
      <name val="Aptos"/>
    </font>
    <font>
      <sz val="9"/>
      <color rgb="FF000000"/>
      <name val="Aptos"/>
    </font>
    <font>
      <b/>
      <sz val="10"/>
      <color rgb="FFFFFFFF"/>
      <name val="Aptos"/>
    </font>
    <font>
      <b/>
      <sz val="9"/>
      <color rgb="FF000000"/>
      <name val="Aptos"/>
    </font>
    <font>
      <b/>
      <sz val="15"/>
      <color rgb="FF008000"/>
      <name val="Aptos"/>
    </font>
    <font>
      <b/>
      <sz val="9"/>
      <color rgb="FF52657B"/>
      <name val="Aptos"/>
    </font>
    <font>
      <sz val="9"/>
      <color rgb="FF0000FF"/>
      <name val="Aptos"/>
    </font>
    <font>
      <i/>
      <sz val="11"/>
      <color rgb="FF52657B"/>
      <name val="Aptos"/>
    </font>
    <font>
      <sz val="9"/>
      <color rgb="FF008000"/>
      <name val="Aptos"/>
    </font>
    <font>
      <b/>
      <sz val="11"/>
      <color rgb="FF000000"/>
      <name val="Aptos"/>
    </font>
    <font>
      <sz val="11"/>
      <color rgb="FF008000"/>
      <name val="Aptos"/>
    </font>
    <font>
      <sz val="9"/>
      <color rgb="FFC00000"/>
      <name val="Aptos"/>
    </font>
    <font>
      <b/>
      <sz val="14"/>
      <color rgb="FF006100"/>
      <name val="Aptos"/>
    </font>
    <font>
      <b/>
      <sz val="14"/>
      <name val="Aptos"/>
    </font>
  </fonts>
  <fills count="11">
    <fill>
      <patternFill patternType="none"/>
    </fill>
    <fill>
      <patternFill patternType="gray125"/>
    </fill>
    <fill>
      <patternFill patternType="solid">
        <fgColor rgb="FF102A43"/>
      </patternFill>
    </fill>
    <fill>
      <patternFill patternType="solid">
        <fgColor rgb="FFDCE8F3"/>
      </patternFill>
    </fill>
    <fill>
      <patternFill patternType="solid">
        <fgColor rgb="FFEAF2FB"/>
      </patternFill>
    </fill>
    <fill>
      <patternFill patternType="solid">
        <fgColor rgb="FF2D5B9F"/>
      </patternFill>
    </fill>
    <fill>
      <patternFill patternType="solid">
        <fgColor rgb="FFFFF5CC"/>
      </patternFill>
    </fill>
    <fill>
      <patternFill patternType="solid">
        <fgColor rgb="FFEEF3F7"/>
      </patternFill>
    </fill>
    <fill>
      <patternFill patternType="solid">
        <fgColor rgb="FFE7F7F5"/>
      </patternFill>
    </fill>
    <fill>
      <patternFill patternType="solid">
        <fgColor rgb="FFF3F0FA"/>
      </patternFill>
    </fill>
    <fill>
      <patternFill patternType="solid">
        <fgColor rgb="FFD9EAD3"/>
      </patternFill>
    </fill>
  </fills>
  <borders count="16">
    <border>
      <left/>
      <right/>
      <top/>
      <bottom/>
      <diagonal/>
    </border>
    <border>
      <left style="thin">
        <color rgb="FF102A43"/>
      </left>
      <right/>
      <top style="thin">
        <color rgb="FF102A43"/>
      </top>
      <bottom style="thin">
        <color rgb="FF102A43"/>
      </bottom>
      <diagonal/>
    </border>
    <border>
      <left/>
      <right/>
      <top style="thin">
        <color rgb="FF102A43"/>
      </top>
      <bottom style="thin">
        <color rgb="FF102A43"/>
      </bottom>
      <diagonal/>
    </border>
    <border>
      <left/>
      <right style="thin">
        <color rgb="FF102A43"/>
      </right>
      <top style="thin">
        <color rgb="FF102A43"/>
      </top>
      <bottom style="thin">
        <color rgb="FF102A43"/>
      </bottom>
      <diagonal/>
    </border>
    <border>
      <left/>
      <right/>
      <top/>
      <bottom style="thin">
        <color rgb="FFD7DEE8"/>
      </bottom>
      <diagonal/>
    </border>
    <border>
      <left/>
      <right/>
      <top style="thin">
        <color rgb="FFD7DEE8"/>
      </top>
      <bottom style="thin">
        <color rgb="FFD7DEE8"/>
      </bottom>
      <diagonal/>
    </border>
    <border>
      <left/>
      <right/>
      <top style="thin">
        <color rgb="FFD7DEE8"/>
      </top>
      <bottom/>
      <diagonal/>
    </border>
    <border>
      <left style="thin">
        <color rgb="FFCBD6E2"/>
      </left>
      <right/>
      <top style="thin">
        <color rgb="FFCBD6E2"/>
      </top>
      <bottom/>
      <diagonal/>
    </border>
    <border>
      <left/>
      <right/>
      <top style="thin">
        <color rgb="FFCBD6E2"/>
      </top>
      <bottom/>
      <diagonal/>
    </border>
    <border>
      <left/>
      <right style="thin">
        <color rgb="FFCBD6E2"/>
      </right>
      <top style="thin">
        <color rgb="FFCBD6E2"/>
      </top>
      <bottom/>
      <diagonal/>
    </border>
    <border>
      <left style="thin">
        <color rgb="FFCBD6E2"/>
      </left>
      <right/>
      <top/>
      <bottom/>
      <diagonal/>
    </border>
    <border>
      <left/>
      <right style="thin">
        <color rgb="FFCBD6E2"/>
      </right>
      <top/>
      <bottom/>
      <diagonal/>
    </border>
    <border>
      <left style="thin">
        <color rgb="FFCBD6E2"/>
      </left>
      <right/>
      <top/>
      <bottom style="thin">
        <color rgb="FFCBD6E2"/>
      </bottom>
      <diagonal/>
    </border>
    <border>
      <left/>
      <right/>
      <top/>
      <bottom style="thin">
        <color rgb="FFCBD6E2"/>
      </bottom>
      <diagonal/>
    </border>
    <border>
      <left/>
      <right style="thin">
        <color rgb="FFCBD6E2"/>
      </right>
      <top/>
      <bottom style="thin">
        <color rgb="FFCBD6E2"/>
      </bottom>
      <diagonal/>
    </border>
    <border>
      <left/>
      <right/>
      <top style="double">
        <color rgb="FF102A43"/>
      </top>
      <bottom/>
      <diagonal/>
    </border>
  </borders>
  <cellStyleXfs count="1">
    <xf numFmtId="0" fontId="0" fillId="0" borderId="0"/>
  </cellStyleXfs>
  <cellXfs count="100">
    <xf numFmtId="0" fontId="0" fillId="0" borderId="0" xfId="0"/>
    <xf numFmtId="0" fontId="3" fillId="0" borderId="0" xfId="0" applyFont="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4" xfId="0" applyFont="1" applyBorder="1" applyAlignment="1">
      <alignment vertical="center"/>
    </xf>
    <xf numFmtId="3" fontId="6" fillId="0" borderId="4" xfId="0" applyNumberFormat="1" applyFont="1" applyBorder="1" applyAlignment="1">
      <alignment vertical="center"/>
    </xf>
    <xf numFmtId="0" fontId="6" fillId="0" borderId="5" xfId="0" applyFont="1" applyBorder="1" applyAlignment="1">
      <alignment vertical="center"/>
    </xf>
    <xf numFmtId="164" fontId="6" fillId="0" borderId="5" xfId="0" applyNumberFormat="1" applyFont="1" applyBorder="1" applyAlignment="1">
      <alignment vertical="center"/>
    </xf>
    <xf numFmtId="2" fontId="6" fillId="0" borderId="5" xfId="0" applyNumberFormat="1" applyFont="1" applyBorder="1" applyAlignment="1">
      <alignment vertical="center"/>
    </xf>
    <xf numFmtId="0" fontId="6" fillId="0" borderId="6" xfId="0" applyFont="1" applyBorder="1" applyAlignment="1">
      <alignment vertical="center"/>
    </xf>
    <xf numFmtId="3" fontId="6" fillId="0" borderId="6" xfId="0" applyNumberFormat="1"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6" borderId="6" xfId="0" applyFont="1" applyFill="1" applyBorder="1" applyAlignment="1">
      <alignment vertical="center"/>
    </xf>
    <xf numFmtId="0" fontId="6" fillId="6" borderId="6" xfId="0" applyFont="1" applyFill="1" applyBorder="1" applyAlignment="1">
      <alignment vertical="center"/>
    </xf>
    <xf numFmtId="2" fontId="6" fillId="0" borderId="4" xfId="0" applyNumberFormat="1" applyFont="1" applyBorder="1" applyAlignment="1">
      <alignment vertical="center"/>
    </xf>
    <xf numFmtId="2" fontId="6" fillId="0" borderId="6" xfId="0" applyNumberFormat="1" applyFont="1" applyBorder="1" applyAlignment="1">
      <alignment vertical="center"/>
    </xf>
    <xf numFmtId="10" fontId="6" fillId="0" borderId="4" xfId="0" applyNumberFormat="1" applyFont="1" applyBorder="1" applyAlignment="1">
      <alignment vertical="center"/>
    </xf>
    <xf numFmtId="167" fontId="6" fillId="0" borderId="6" xfId="0" applyNumberFormat="1" applyFont="1" applyBorder="1" applyAlignment="1">
      <alignment vertical="center"/>
    </xf>
    <xf numFmtId="167" fontId="11" fillId="6" borderId="4" xfId="0" applyNumberFormat="1" applyFont="1" applyFill="1" applyBorder="1" applyAlignment="1">
      <alignment vertical="center"/>
    </xf>
    <xf numFmtId="164" fontId="11" fillId="6" borderId="5" xfId="0" applyNumberFormat="1" applyFont="1" applyFill="1" applyBorder="1" applyAlignment="1">
      <alignment vertical="center"/>
    </xf>
    <xf numFmtId="167" fontId="11" fillId="6" borderId="5" xfId="0" applyNumberFormat="1" applyFont="1" applyFill="1" applyBorder="1" applyAlignment="1">
      <alignment vertical="center"/>
    </xf>
    <xf numFmtId="2" fontId="6" fillId="7" borderId="6" xfId="0" applyNumberFormat="1" applyFont="1" applyFill="1" applyBorder="1" applyAlignment="1">
      <alignment vertical="center"/>
    </xf>
    <xf numFmtId="10" fontId="6" fillId="0" borderId="5" xfId="0" applyNumberFormat="1" applyFont="1" applyBorder="1" applyAlignment="1">
      <alignment vertical="center"/>
    </xf>
    <xf numFmtId="10" fontId="6" fillId="0" borderId="6" xfId="0" applyNumberFormat="1" applyFont="1" applyBorder="1" applyAlignment="1">
      <alignment vertical="center"/>
    </xf>
    <xf numFmtId="167" fontId="6" fillId="0" borderId="4" xfId="0" applyNumberFormat="1" applyFont="1" applyBorder="1" applyAlignment="1">
      <alignment vertical="center"/>
    </xf>
    <xf numFmtId="167" fontId="6" fillId="0" borderId="5" xfId="0" applyNumberFormat="1" applyFont="1" applyBorder="1" applyAlignment="1">
      <alignment vertical="center"/>
    </xf>
    <xf numFmtId="164" fontId="6" fillId="0" borderId="4" xfId="0" applyNumberFormat="1" applyFont="1" applyBorder="1" applyAlignment="1">
      <alignment vertical="center"/>
    </xf>
    <xf numFmtId="168" fontId="6" fillId="0" borderId="4" xfId="0" applyNumberFormat="1" applyFont="1" applyBorder="1" applyAlignment="1">
      <alignment vertical="center"/>
    </xf>
    <xf numFmtId="164" fontId="6" fillId="0" borderId="6" xfId="0" applyNumberFormat="1" applyFont="1" applyBorder="1" applyAlignment="1">
      <alignment vertical="center"/>
    </xf>
    <xf numFmtId="168" fontId="6" fillId="0" borderId="6" xfId="0" applyNumberFormat="1" applyFont="1" applyBorder="1" applyAlignment="1">
      <alignment vertical="center"/>
    </xf>
    <xf numFmtId="3" fontId="6" fillId="0" borderId="5" xfId="0" applyNumberFormat="1" applyFont="1" applyBorder="1" applyAlignment="1">
      <alignment vertical="center"/>
    </xf>
    <xf numFmtId="164" fontId="13" fillId="0" borderId="4" xfId="0" applyNumberFormat="1" applyFont="1" applyBorder="1" applyAlignment="1">
      <alignment vertical="center"/>
    </xf>
    <xf numFmtId="164" fontId="13" fillId="0" borderId="5" xfId="0" applyNumberFormat="1" applyFont="1" applyBorder="1" applyAlignment="1">
      <alignment vertical="center"/>
    </xf>
    <xf numFmtId="164" fontId="13" fillId="0" borderId="6" xfId="0" applyNumberFormat="1" applyFont="1" applyBorder="1" applyAlignment="1">
      <alignment vertical="center"/>
    </xf>
    <xf numFmtId="0" fontId="14" fillId="8" borderId="15" xfId="0" applyFont="1" applyFill="1" applyBorder="1"/>
    <xf numFmtId="2" fontId="14" fillId="8" borderId="15" xfId="0" applyNumberFormat="1" applyFont="1" applyFill="1" applyBorder="1"/>
    <xf numFmtId="0" fontId="15" fillId="0" borderId="0" xfId="0" applyFont="1"/>
    <xf numFmtId="2" fontId="15" fillId="0" borderId="0" xfId="0" applyNumberFormat="1" applyFont="1"/>
    <xf numFmtId="2" fontId="5" fillId="2" borderId="2" xfId="0" applyNumberFormat="1" applyFont="1" applyFill="1" applyBorder="1" applyAlignment="1">
      <alignment horizontal="center" vertical="center" wrapText="1"/>
    </xf>
    <xf numFmtId="2" fontId="13" fillId="0" borderId="4" xfId="0" applyNumberFormat="1" applyFont="1" applyBorder="1" applyAlignment="1">
      <alignment vertical="center"/>
    </xf>
    <xf numFmtId="2" fontId="13" fillId="0" borderId="5" xfId="0" applyNumberFormat="1" applyFont="1" applyBorder="1" applyAlignment="1">
      <alignment vertical="center"/>
    </xf>
    <xf numFmtId="2" fontId="13" fillId="0" borderId="6" xfId="0" applyNumberFormat="1" applyFont="1" applyBorder="1" applyAlignment="1">
      <alignment vertical="center"/>
    </xf>
    <xf numFmtId="2" fontId="3" fillId="0" borderId="0" xfId="0" applyNumberFormat="1" applyFont="1"/>
    <xf numFmtId="0" fontId="14" fillId="4" borderId="15" xfId="0" applyFont="1" applyFill="1" applyBorder="1"/>
    <xf numFmtId="2" fontId="14" fillId="4" borderId="15" xfId="0" applyNumberFormat="1" applyFont="1" applyFill="1" applyBorder="1"/>
    <xf numFmtId="0" fontId="14" fillId="7" borderId="15" xfId="0" applyFont="1" applyFill="1" applyBorder="1"/>
    <xf numFmtId="3" fontId="14" fillId="7" borderId="15" xfId="0" applyNumberFormat="1" applyFont="1" applyFill="1" applyBorder="1"/>
    <xf numFmtId="2" fontId="14" fillId="7" borderId="15" xfId="0" applyNumberFormat="1" applyFont="1" applyFill="1" applyBorder="1"/>
    <xf numFmtId="0" fontId="16" fillId="0" borderId="4" xfId="0" applyFont="1" applyBorder="1" applyAlignment="1">
      <alignmen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8" fillId="7" borderId="0" xfId="0" applyFont="1" applyFill="1"/>
    <xf numFmtId="0" fontId="2" fillId="2" borderId="0" xfId="0" applyFont="1" applyFill="1" applyAlignment="1">
      <alignment horizontal="left" vertical="center"/>
    </xf>
    <xf numFmtId="0" fontId="1" fillId="3" borderId="0" xfId="0" applyFont="1" applyFill="1" applyAlignment="1">
      <alignment vertical="center"/>
    </xf>
    <xf numFmtId="0" fontId="4" fillId="4" borderId="0" xfId="0" applyFont="1" applyFill="1" applyAlignment="1">
      <alignment vertical="center" wrapText="1"/>
    </xf>
    <xf numFmtId="0" fontId="7" fillId="5" borderId="0" xfId="0" applyFont="1" applyFill="1" applyAlignment="1">
      <alignment horizontal="left" vertical="center"/>
    </xf>
    <xf numFmtId="0" fontId="1" fillId="7" borderId="0" xfId="0" applyFont="1" applyFill="1" applyAlignment="1">
      <alignment vertical="center" wrapText="1"/>
    </xf>
    <xf numFmtId="165" fontId="9" fillId="8" borderId="7" xfId="0" applyNumberFormat="1" applyFont="1" applyFill="1" applyBorder="1" applyAlignment="1">
      <alignment horizontal="center" vertical="center"/>
    </xf>
    <xf numFmtId="0" fontId="9" fillId="8" borderId="8" xfId="0" applyFont="1" applyFill="1" applyBorder="1" applyAlignment="1">
      <alignment horizontal="center" vertical="center"/>
    </xf>
    <xf numFmtId="0" fontId="9" fillId="8" borderId="9" xfId="0" applyFont="1" applyFill="1" applyBorder="1" applyAlignment="1">
      <alignment horizontal="center" vertical="center"/>
    </xf>
    <xf numFmtId="0" fontId="9" fillId="8" borderId="10" xfId="0" applyFont="1" applyFill="1" applyBorder="1" applyAlignment="1">
      <alignment horizontal="center" vertical="center"/>
    </xf>
    <xf numFmtId="0" fontId="9" fillId="8" borderId="0" xfId="0" applyFont="1" applyFill="1" applyAlignment="1">
      <alignment horizontal="center" vertical="center"/>
    </xf>
    <xf numFmtId="0" fontId="9" fillId="8" borderId="11" xfId="0" applyFont="1" applyFill="1" applyBorder="1" applyAlignment="1">
      <alignment horizontal="center" vertical="center"/>
    </xf>
    <xf numFmtId="0" fontId="9" fillId="8" borderId="12" xfId="0" applyFont="1" applyFill="1" applyBorder="1" applyAlignment="1">
      <alignment horizontal="center" vertical="center"/>
    </xf>
    <xf numFmtId="0" fontId="9" fillId="8" borderId="13" xfId="0" applyFont="1" applyFill="1" applyBorder="1" applyAlignment="1">
      <alignment horizontal="center" vertical="center"/>
    </xf>
    <xf numFmtId="0" fontId="9" fillId="8" borderId="14" xfId="0" applyFont="1" applyFill="1" applyBorder="1" applyAlignment="1">
      <alignment horizontal="center" vertical="center"/>
    </xf>
    <xf numFmtId="0" fontId="10" fillId="0" borderId="0" xfId="0" applyFont="1" applyAlignment="1">
      <alignment horizontal="center"/>
    </xf>
    <xf numFmtId="0" fontId="3" fillId="0" borderId="0" xfId="0" applyFont="1"/>
    <xf numFmtId="165" fontId="9" fillId="4" borderId="7"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0" xfId="0" applyFont="1" applyFill="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166" fontId="9" fillId="9" borderId="7" xfId="0" applyNumberFormat="1" applyFont="1" applyFill="1" applyBorder="1" applyAlignment="1">
      <alignment horizontal="center" vertical="center"/>
    </xf>
    <xf numFmtId="0" fontId="9" fillId="9" borderId="8" xfId="0" applyFont="1" applyFill="1" applyBorder="1" applyAlignment="1">
      <alignment horizontal="center" vertical="center"/>
    </xf>
    <xf numFmtId="0" fontId="9" fillId="9" borderId="9" xfId="0" applyFont="1" applyFill="1" applyBorder="1" applyAlignment="1">
      <alignment horizontal="center" vertical="center"/>
    </xf>
    <xf numFmtId="0" fontId="9" fillId="9" borderId="10" xfId="0" applyFont="1" applyFill="1" applyBorder="1" applyAlignment="1">
      <alignment horizontal="center" vertical="center"/>
    </xf>
    <xf numFmtId="0" fontId="9" fillId="9" borderId="0" xfId="0" applyFont="1" applyFill="1" applyAlignment="1">
      <alignment horizontal="center" vertical="center"/>
    </xf>
    <xf numFmtId="0" fontId="9" fillId="9" borderId="11" xfId="0" applyFont="1" applyFill="1" applyBorder="1" applyAlignment="1">
      <alignment horizontal="center" vertical="center"/>
    </xf>
    <xf numFmtId="0" fontId="9" fillId="9" borderId="12" xfId="0" applyFont="1" applyFill="1" applyBorder="1" applyAlignment="1">
      <alignment horizontal="center" vertical="center"/>
    </xf>
    <xf numFmtId="0" fontId="9" fillId="9" borderId="13" xfId="0" applyFont="1" applyFill="1" applyBorder="1" applyAlignment="1">
      <alignment horizontal="center" vertical="center"/>
    </xf>
    <xf numFmtId="0" fontId="9" fillId="9" borderId="14" xfId="0" applyFont="1" applyFill="1" applyBorder="1" applyAlignment="1">
      <alignment horizontal="center" vertical="center"/>
    </xf>
    <xf numFmtId="49" fontId="9" fillId="7" borderId="7" xfId="0" applyNumberFormat="1" applyFont="1" applyFill="1" applyBorder="1" applyAlignment="1">
      <alignment horizontal="center" vertical="center"/>
    </xf>
    <xf numFmtId="0" fontId="9" fillId="7" borderId="8"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0" xfId="0" applyFont="1" applyFill="1" applyAlignment="1">
      <alignment horizontal="center" vertical="center"/>
    </xf>
    <xf numFmtId="0" fontId="9" fillId="7" borderId="11" xfId="0" applyFont="1" applyFill="1" applyBorder="1" applyAlignment="1">
      <alignment horizontal="center" vertical="center"/>
    </xf>
    <xf numFmtId="0" fontId="9" fillId="7" borderId="12" xfId="0" applyFont="1" applyFill="1" applyBorder="1" applyAlignment="1">
      <alignment horizontal="center" vertical="center"/>
    </xf>
    <xf numFmtId="0" fontId="9" fillId="7" borderId="13" xfId="0" applyFont="1" applyFill="1" applyBorder="1" applyAlignment="1">
      <alignment horizontal="center" vertical="center"/>
    </xf>
    <xf numFmtId="0" fontId="9" fillId="7" borderId="14" xfId="0" applyFont="1" applyFill="1" applyBorder="1" applyAlignment="1">
      <alignment horizontal="center" vertical="center"/>
    </xf>
    <xf numFmtId="0" fontId="12" fillId="4" borderId="0" xfId="0" applyFont="1" applyFill="1" applyAlignment="1">
      <alignment vertical="center" wrapText="1"/>
    </xf>
    <xf numFmtId="2" fontId="7" fillId="5" borderId="0" xfId="0" applyNumberFormat="1" applyFont="1" applyFill="1" applyAlignment="1">
      <alignment horizontal="left" vertical="center"/>
    </xf>
    <xf numFmtId="0" fontId="17" fillId="10" borderId="0" xfId="0" applyFont="1" applyFill="1" applyAlignment="1">
      <alignment horizontal="left" vertical="center"/>
    </xf>
  </cellXfs>
  <cellStyles count="1">
    <cellStyle name="Normal" xfId="0" builtinId="0"/>
  </cellStyles>
  <dxfs count="7">
    <dxf>
      <font>
        <b/>
        <color rgb="FF2D5B9F"/>
      </font>
      <fill>
        <patternFill patternType="solid">
          <bgColor rgb="FFEAF2FB"/>
        </patternFill>
      </fill>
    </dxf>
    <dxf>
      <font>
        <b/>
        <color rgb="FF006100"/>
      </font>
      <fill>
        <patternFill patternType="solid">
          <bgColor rgb="FFD9EAD3"/>
        </patternFill>
      </fill>
    </dxf>
    <dxf>
      <font>
        <b/>
        <color rgb="FFC00000"/>
      </font>
      <fill>
        <patternFill patternType="solid">
          <bgColor rgb="FFF4CCCC"/>
        </patternFill>
      </fill>
    </dxf>
    <dxf>
      <font>
        <b/>
        <color rgb="FF006100"/>
      </font>
      <fill>
        <patternFill patternType="solid">
          <bgColor rgb="FFD9EAD3"/>
        </patternFill>
      </fill>
    </dxf>
    <dxf>
      <font>
        <b/>
        <color rgb="FF006100"/>
      </font>
      <fill>
        <patternFill patternType="solid">
          <bgColor rgb="FFD9EAD3"/>
        </patternFill>
      </fill>
    </dxf>
    <dxf>
      <font>
        <b/>
        <color rgb="FFC00000"/>
      </font>
      <fill>
        <patternFill patternType="solid">
          <bgColor rgb="FFF4CCCC"/>
        </patternFill>
      </fill>
    </dxf>
    <dxf>
      <font>
        <b/>
        <color rgb="FF006100"/>
      </font>
      <fill>
        <patternFill patternType="solid">
          <bgColor rgb="FFD9EA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r>
              <a:rPr lang="en-US"/>
              <a:t>Budget mensuel par energie (MEUR)</a:t>
            </a:r>
          </a:p>
        </c:rich>
      </c:tx>
      <c:overlay val="1"/>
    </c:title>
    <c:autoTitleDeleted val="0"/>
    <c:plotArea>
      <c:layout/>
      <c:lineChart>
        <c:grouping val="standard"/>
        <c:varyColors val="1"/>
        <c:ser>
          <c:idx val="0"/>
          <c:order val="0"/>
          <c:tx>
            <c:v>Electricite MEUR</c:v>
          </c:tx>
          <c:marker>
            <c:symbol val="none"/>
          </c:marker>
          <c:cat>
            <c:strRef>
              <c:f>'02 Dashboard'!$A$12:$A$23</c:f>
              <c:strCache>
                <c:ptCount val="12"/>
                <c:pt idx="0">
                  <c:v>M1</c:v>
                </c:pt>
                <c:pt idx="1">
                  <c:v>M2</c:v>
                </c:pt>
                <c:pt idx="2">
                  <c:v>M3</c:v>
                </c:pt>
                <c:pt idx="3">
                  <c:v>M4</c:v>
                </c:pt>
                <c:pt idx="4">
                  <c:v>M5</c:v>
                </c:pt>
                <c:pt idx="5">
                  <c:v>M6</c:v>
                </c:pt>
                <c:pt idx="6">
                  <c:v>M7</c:v>
                </c:pt>
                <c:pt idx="7">
                  <c:v>M8</c:v>
                </c:pt>
                <c:pt idx="8">
                  <c:v>M9</c:v>
                </c:pt>
                <c:pt idx="9">
                  <c:v>M10</c:v>
                </c:pt>
                <c:pt idx="10">
                  <c:v>M11</c:v>
                </c:pt>
                <c:pt idx="11">
                  <c:v>M12</c:v>
                </c:pt>
              </c:strCache>
            </c:strRef>
          </c:cat>
          <c:val>
            <c:numRef>
              <c:f>'02 Dashboard'!$B$12:$B$23</c:f>
              <c:numCache>
                <c:formatCode>0.00</c:formatCode>
                <c:ptCount val="12"/>
                <c:pt idx="0">
                  <c:v>10.876258282445335</c:v>
                </c:pt>
                <c:pt idx="1">
                  <c:v>11.048005273270885</c:v>
                </c:pt>
                <c:pt idx="2">
                  <c:v>12.359623594496899</c:v>
                </c:pt>
                <c:pt idx="3">
                  <c:v>12.032090415498486</c:v>
                </c:pt>
                <c:pt idx="4">
                  <c:v>11.33808967566992</c:v>
                </c:pt>
                <c:pt idx="5">
                  <c:v>9.8329175040751249</c:v>
                </c:pt>
                <c:pt idx="6">
                  <c:v>8.8933023532233211</c:v>
                </c:pt>
                <c:pt idx="7">
                  <c:v>8.1781147543803403</c:v>
                </c:pt>
                <c:pt idx="8">
                  <c:v>8.0359615878055148</c:v>
                </c:pt>
                <c:pt idx="9">
                  <c:v>8.2034502549518518</c:v>
                </c:pt>
                <c:pt idx="10">
                  <c:v>8.1905075953106454</c:v>
                </c:pt>
                <c:pt idx="11">
                  <c:v>9.6788258704447863</c:v>
                </c:pt>
              </c:numCache>
            </c:numRef>
          </c:val>
          <c:smooth val="1"/>
          <c:extLst>
            <c:ext xmlns:c16="http://schemas.microsoft.com/office/drawing/2014/chart" uri="{C3380CC4-5D6E-409C-BE32-E72D297353CC}">
              <c16:uniqueId val="{00000000-B52D-1E44-9A78-7BC720A413D0}"/>
            </c:ext>
          </c:extLst>
        </c:ser>
        <c:ser>
          <c:idx val="1"/>
          <c:order val="1"/>
          <c:tx>
            <c:v>Gaz MEUR</c:v>
          </c:tx>
          <c:marker>
            <c:symbol val="none"/>
          </c:marker>
          <c:cat>
            <c:strRef>
              <c:f>'02 Dashboard'!$A$12:$A$23</c:f>
              <c:strCache>
                <c:ptCount val="12"/>
                <c:pt idx="0">
                  <c:v>M1</c:v>
                </c:pt>
                <c:pt idx="1">
                  <c:v>M2</c:v>
                </c:pt>
                <c:pt idx="2">
                  <c:v>M3</c:v>
                </c:pt>
                <c:pt idx="3">
                  <c:v>M4</c:v>
                </c:pt>
                <c:pt idx="4">
                  <c:v>M5</c:v>
                </c:pt>
                <c:pt idx="5">
                  <c:v>M6</c:v>
                </c:pt>
                <c:pt idx="6">
                  <c:v>M7</c:v>
                </c:pt>
                <c:pt idx="7">
                  <c:v>M8</c:v>
                </c:pt>
                <c:pt idx="8">
                  <c:v>M9</c:v>
                </c:pt>
                <c:pt idx="9">
                  <c:v>M10</c:v>
                </c:pt>
                <c:pt idx="10">
                  <c:v>M11</c:v>
                </c:pt>
                <c:pt idx="11">
                  <c:v>M12</c:v>
                </c:pt>
              </c:strCache>
            </c:strRef>
          </c:cat>
          <c:val>
            <c:numRef>
              <c:f>'02 Dashboard'!$C$12:$C$23</c:f>
              <c:numCache>
                <c:formatCode>0.00</c:formatCode>
                <c:ptCount val="12"/>
                <c:pt idx="0">
                  <c:v>6.3229399352396642</c:v>
                </c:pt>
                <c:pt idx="1">
                  <c:v>7.212462049264782</c:v>
                </c:pt>
                <c:pt idx="2">
                  <c:v>8.7887673362226604</c:v>
                </c:pt>
                <c:pt idx="3">
                  <c:v>7.9055184399331138</c:v>
                </c:pt>
                <c:pt idx="4">
                  <c:v>6.5547975290665317</c:v>
                </c:pt>
                <c:pt idx="5">
                  <c:v>4.5640520478493496</c:v>
                </c:pt>
                <c:pt idx="6">
                  <c:v>2.4151256866998136</c:v>
                </c:pt>
                <c:pt idx="7">
                  <c:v>1.4499049957699859</c:v>
                </c:pt>
                <c:pt idx="8">
                  <c:v>1.3569134135519338</c:v>
                </c:pt>
                <c:pt idx="9">
                  <c:v>1.2888875407151881</c:v>
                </c:pt>
                <c:pt idx="10">
                  <c:v>1.6561997002061422</c:v>
                </c:pt>
                <c:pt idx="11">
                  <c:v>4.1427966237697325</c:v>
                </c:pt>
              </c:numCache>
            </c:numRef>
          </c:val>
          <c:smooth val="1"/>
          <c:extLst>
            <c:ext xmlns:c16="http://schemas.microsoft.com/office/drawing/2014/chart" uri="{C3380CC4-5D6E-409C-BE32-E72D297353CC}">
              <c16:uniqueId val="{00000001-B52D-1E44-9A78-7BC720A413D0}"/>
            </c:ext>
          </c:extLst>
        </c:ser>
        <c:dLbls>
          <c:showLegendKey val="0"/>
          <c:showVal val="0"/>
          <c:showCatName val="0"/>
          <c:showSerName val="0"/>
          <c:showPercent val="0"/>
          <c:showBubbleSize val="0"/>
        </c:dLbls>
        <c:smooth val="0"/>
        <c:axId val="48650112"/>
        <c:axId val="48672768"/>
      </c:line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00" sourceLinked="1"/>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10</xdr:row>
      <xdr:rowOff>0</xdr:rowOff>
    </xdr:from>
    <xdr:to>
      <xdr:col>14</xdr:col>
      <xdr:colOff>0</xdr:colOff>
      <xdr:row>24</xdr:row>
      <xdr:rowOff>0</xdr:rowOff>
    </xdr:to>
    <xdr:graphicFrame macro="">
      <xdr:nvGraphicFramePr>
        <xdr:cNvPr id="2" name="Chart">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215900</xdr:colOff>
      <xdr:row>67</xdr:row>
      <xdr:rowOff>12700</xdr:rowOff>
    </xdr:to>
    <xdr:sp macro="" textlink="">
      <xdr:nvSpPr>
        <xdr:cNvPr id="2064" name="Text Box 16" hidden="1">
          <a:extLst>
            <a:ext uri="{FF2B5EF4-FFF2-40B4-BE49-F238E27FC236}">
              <a16:creationId xmlns:a16="http://schemas.microsoft.com/office/drawing/2014/main" id="{1AC7060B-B825-9897-1955-92F89F15A298}"/>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469900</xdr:colOff>
      <xdr:row>67</xdr:row>
      <xdr:rowOff>114300</xdr:rowOff>
    </xdr:to>
    <xdr:sp macro="" textlink="">
      <xdr:nvSpPr>
        <xdr:cNvPr id="3081" name="Text Box 9" hidden="1">
          <a:extLst>
            <a:ext uri="{FF2B5EF4-FFF2-40B4-BE49-F238E27FC236}">
              <a16:creationId xmlns:a16="http://schemas.microsoft.com/office/drawing/2014/main" id="{C81E5716-0532-EC19-7985-F21BE58A78FB}"/>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368300</xdr:colOff>
      <xdr:row>68</xdr:row>
      <xdr:rowOff>25400</xdr:rowOff>
    </xdr:to>
    <xdr:sp macro="" textlink="">
      <xdr:nvSpPr>
        <xdr:cNvPr id="4109" name="Text Box 13" hidden="1">
          <a:extLst>
            <a:ext uri="{FF2B5EF4-FFF2-40B4-BE49-F238E27FC236}">
              <a16:creationId xmlns:a16="http://schemas.microsoft.com/office/drawing/2014/main" id="{D3791BEC-2DB0-AB98-2FC4-4314351EEB22}"/>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355600</xdr:colOff>
      <xdr:row>64</xdr:row>
      <xdr:rowOff>101600</xdr:rowOff>
    </xdr:to>
    <xdr:sp macro="" textlink="">
      <xdr:nvSpPr>
        <xdr:cNvPr id="5125" name="Text Box 5" hidden="1">
          <a:extLst>
            <a:ext uri="{FF2B5EF4-FFF2-40B4-BE49-F238E27FC236}">
              <a16:creationId xmlns:a16="http://schemas.microsoft.com/office/drawing/2014/main" id="{0BFA5D67-C55B-1454-B4D8-05224C9C54A1}"/>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2946400</xdr:colOff>
      <xdr:row>67</xdr:row>
      <xdr:rowOff>152400</xdr:rowOff>
    </xdr:to>
    <xdr:sp macro="" textlink="">
      <xdr:nvSpPr>
        <xdr:cNvPr id="6153" name="Text Box 9" hidden="1">
          <a:extLst>
            <a:ext uri="{FF2B5EF4-FFF2-40B4-BE49-F238E27FC236}">
              <a16:creationId xmlns:a16="http://schemas.microsoft.com/office/drawing/2014/main" id="{EF290BB9-7227-130D-3291-7DFDBEADA925}"/>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person displayName="Danyel Lambert" id="{858F3C81-454C-4357-9700-43AEBCDD5DC1}" userId="" providerId=""/>
</personList>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4" dT="2026-07-11T22:39:57.22" personId="{858F3C81-454C-4357-9700-43AEBCDD5DC1}" id="{23F13CAE-CBFF-E107-1A02-B2AC58AE9489}">
    <text>Classification: Editable assumption
Source / rationale: Scenario portfolio
As of: 2026-07-11
Excel behavior: editable input unless explicitly classified as model output.</text>
  </threadedComment>
  <threadedComment ref="B15" dT="2026-07-11T22:47:27.29" personId="{858F3C81-454C-4357-9700-43AEBCDD5DC1}" id="{E048640B-B0B5-309D-C69B-B19C17B9FD11}">
    <text>Classification: Editable assumption
Source / rationale: Scenario
As of: 2026-07-11
Excel behavior: editable input unless explicitly classified as model output.</text>
  </threadedComment>
  <threadedComment ref="B16" dT="2026-07-11T22:47:27.29" personId="{858F3C81-454C-4357-9700-43AEBCDD5DC1}" id="{3ECBFCD4-A561-4E76-9BAB-509502C15396}">
    <text>Classification: Public anchor
Source / rationale: CRE 2026
As of: 2026-07-11
Excel behavior: editable input unless explicitly classified as model output.</text>
  </threadedComment>
  <threadedComment ref="B17" dT="2026-07-11T22:47:27.29" personId="{858F3C81-454C-4357-9700-43AEBCDD5DC1}" id="{444779F7-3BD7-86EC-3ADC-9A64F883BB96}">
    <text>Classification: Public anchor
Source / rationale: Legifrance 2026
As of: 2026-07-11
Excel behavior: editable input unless explicitly classified as model output.</text>
  </threadedComment>
  <threadedComment ref="B18" dT="2026-07-11T22:47:27.29" personId="{858F3C81-454C-4357-9700-43AEBCDD5DC1}" id="{69FDAC2E-5F9D-C167-7B3F-3E3EC4753487}">
    <text>Classification: Editable assumption
Source / rationale: Scenario
As of: 2026-07-11
Excel behavior: editable input unless explicitly classified as model output.</text>
  </threadedComment>
  <threadedComment ref="B19" dT="2026-07-11T22:47:27.29" personId="{858F3C81-454C-4357-9700-43AEBCDD5DC1}" id="{F22C2A90-3508-1475-65D7-B8CCB7ACBFB4}">
    <text>Classification: Editable assumption
Source / rationale: Scenario portfolio
As of: 2026-07-11
Excel behavior: editable input unless explicitly classified as model output.</text>
  </threadedComment>
  <threadedComment ref="B20" dT="2026-07-11T22:47:27.29" personId="{858F3C81-454C-4357-9700-43AEBCDD5DC1}" id="{9B39EF53-B8D2-6367-F481-370C10827C37}">
    <text>Classification: Editable assumption
Source / rationale: Scenario portfolio
As of: 2026-07-11
Excel behavior: editable input unless explicitly classified as model output.</text>
  </threadedComment>
  <threadedComment ref="B21" dT="2026-07-11T22:47:27.29" personId="{858F3C81-454C-4357-9700-43AEBCDD5DC1}" id="{E22020A3-1DFD-19B1-5977-51619C4DF773}">
    <text>Classification: Public anchor
Source / rationale: CRE 2026
As of: 2026-07-11
Excel behavior: editable input unless explicitly classified as model output.</text>
  </threadedComment>
  <threadedComment ref="B22" dT="2026-07-11T22:47:27.29" personId="{858F3C81-454C-4357-9700-43AEBCDD5DC1}" id="{26A8A8B8-2DB3-C72C-4594-BFA0E7CE408F}">
    <text>Classification: Editable assumption
Source / rationale: Scenario
As of: 2026-07-11
Excel behavior: editable input unless explicitly classified as model output.</text>
  </threadedComment>
  <threadedComment ref="B23" dT="2026-07-11T22:47:27.29" personId="{858F3C81-454C-4357-9700-43AEBCDD5DC1}" id="{36F9E188-D0DF-CE1F-9051-11268222F164}">
    <text>Classification: Public anchor
Source / rationale: CRE 2026
As of: 2026-07-11
Excel behavior: editable input unless explicitly classified as model output.</text>
  </threadedComment>
  <threadedComment ref="B24" dT="2026-07-11T22:47:27.29" personId="{858F3C81-454C-4357-9700-43AEBCDD5DC1}" id="{62765CFA-149A-7BE0-662E-0521AF025565}">
    <text>Classification: Editable assumption
Source / rationale: Scenario
As of: 2026-07-11
Excel behavior: editable input unless explicitly classified as model output.</text>
  </threadedComment>
  <threadedComment ref="B25" dT="2026-07-11T22:47:27.29" personId="{858F3C81-454C-4357-9700-43AEBCDD5DC1}" id="{33ABA655-C7CD-1C88-981B-ADD327045785}">
    <text>Classification: Public anchor
Source / rationale: CRE fees + scenario
As of: 2026-07-11
Excel behavior: editable input unless explicitly classified as model output.</text>
  </threadedComment>
  <threadedComment ref="B26" dT="2026-07-11T22:47:27.29" personId="{858F3C81-454C-4357-9700-43AEBCDD5DC1}" id="{56B19785-B398-A911-C124-10015B08A700}">
    <text>Classification: Editable assumption
Source / rationale: Scenario
As of: 2026-07-11
Excel behavior: editable input unless explicitly classified as model output.</text>
  </threadedComment>
  <threadedComment ref="B27" dT="2026-07-11T22:47:27.29" personId="{858F3C81-454C-4357-9700-43AEBCDD5DC1}" id="{4B8DDC4E-6C0C-E5EA-FD7D-BF52F9627CEB}">
    <text>Classification: Editable assumption
Source / rationale: Scenario
As of: 2026-07-11
Excel behavior: editable input unless explicitly classified as model output.</text>
  </threadedComment>
  <threadedComment ref="B28" dT="2026-07-11T22:47:27.29" personId="{858F3C81-454C-4357-9700-43AEBCDD5DC1}" id="{26AA7AF2-20A7-8DB2-6460-9AA01E02DA1C}">
    <text>Classification: Python/model output
Source / rationale: Model output
As of: 2026-07-11
Excel behavior: editable input unless explicitly classified as model output.</text>
  </threadedComment>
</ThreadedComments>
</file>

<file path=xl/threadedComments/threadedComment2.xml><?xml version="1.0" encoding="utf-8"?>
<ThreadedComments xmlns="http://schemas.microsoft.com/office/spreadsheetml/2018/threadedcomments" xmlns:x="http://schemas.openxmlformats.org/spreadsheetml/2006/main">
  <threadedComment ref="B7" dT="2026-07-11T22:47:27.29" personId="{858F3C81-454C-4357-9700-43AEBCDD5DC1}" id="{4F09C9CD-8F06-4C8B-5E3D-C6F8E6C0926D}">
    <text>PYTHON OUTPUT - not recalculated in Excel.
Source: data/processed/forecast_2026.csv.gz
Engine: HistGradientBoostingRegressor in src/pipeline.py
Method: train 2024-2025; out-of-sample 2026; hourly P50 aggregated to annual volume.
Refresh: rerun the Python pipeline, then rebuild this workbook.</text>
  </threadedComment>
  <threadedComment ref="B8" dT="2026-07-11T22:47:27.29" personId="{858F3C81-454C-4357-9700-43AEBCDD5DC1}" id="{FE0D7FEF-8523-7141-16FF-CCCCDFA679CC}">
    <text>PYTHON OUTPUT - not recalculated in Excel.
Source: data/processed/forecast_2026.csv.gz
Engine: HistGradientBoostingRegressor in src/pipeline.py
Method: calendar, temperature, HDD18, lags J-1/J-7.
Refresh: rerun the Python pipeline, then rebuild this workbook.</text>
  </threadedComment>
  <threadedComment ref="C12" dT="2026-07-11T22:47:27.29" personId="{858F3C81-454C-4357-9700-43AEBCDD5DC1}" id="{6560E486-7DD3-76FF-E36B-33A6BD1E1699}">
    <text>PYTHON OUTPUT - model evaluation metric.
Source: outputs/model_metrics.csv
WMAPE, RMSE and bias are computed by src/pipeline.py and imported as frozen analytical outputs.</text>
  </threadedComment>
  <threadedComment ref="C13" dT="2026-07-11T22:47:27.29" personId="{858F3C81-454C-4357-9700-43AEBCDD5DC1}" id="{147F5A19-645E-01C1-65C7-B03C2EF0BEE9}">
    <text>PYTHON OUTPUT - model evaluation metric.
Source: outputs/model_metrics.csv
WMAPE, RMSE and bias are computed by src/pipeline.py and imported as frozen analytical outputs.</text>
  </threadedComment>
  <threadedComment ref="C14" dT="2026-07-11T22:47:27.29" personId="{858F3C81-454C-4357-9700-43AEBCDD5DC1}" id="{DEF3F862-3629-6E72-5F79-297941FD737A}">
    <text>PYTHON OUTPUT - model evaluation metric.
Source: outputs/model_metrics.csv
WMAPE, RMSE and bias are computed by src/pipeline.py and imported as frozen analytical outputs.</text>
  </threadedComment>
  <threadedComment ref="C15" dT="2026-07-11T22:47:27.29" personId="{858F3C81-454C-4357-9700-43AEBCDD5DC1}" id="{E5E291E9-4722-7486-9E64-C8342EBAED14}">
    <text>PYTHON OUTPUT - model evaluation metric.
Source: outputs/model_metrics.csv
WMAPE, RMSE and bias are computed by src/pipeline.py and imported as frozen analytical outputs.</text>
  </threadedComment>
  <threadedComment ref="C16" dT="2026-07-11T22:47:27.29" personId="{858F3C81-454C-4357-9700-43AEBCDD5DC1}" id="{0E8DD476-F765-EC3A-1AE4-FAC3ED6F35C1}">
    <text>PYTHON OUTPUT - model evaluation metric.
Source: outputs/model_metrics.csv
WMAPE, RMSE and bias are computed by src/pipeline.py and imported as frozen analytical outputs.</text>
  </threadedComment>
  <threadedComment ref="C17" dT="2026-07-11T22:47:27.29" personId="{858F3C81-454C-4357-9700-43AEBCDD5DC1}" id="{1B813EF9-B924-12B7-1110-EBA115C70A40}">
    <text>PYTHON OUTPUT - model evaluation metric.
Source: outputs/model_metrics.csv
WMAPE, RMSE and bias are computed by src/pipeline.py and imported as frozen analytical outputs.</text>
  </threadedComment>
</ThreadedComments>
</file>

<file path=xl/threadedComments/threadedComment3.xml><?xml version="1.0" encoding="utf-8"?>
<ThreadedComments xmlns="http://schemas.microsoft.com/office/spreadsheetml/2018/threadedcomments" xmlns:x="http://schemas.openxmlformats.org/spreadsheetml/2006/main">
  <threadedComment ref="C7" dT="2026-07-11T22:47:27.29" personId="{858F3C81-454C-4357-9700-43AEBCDD5DC1}" id="{7AEF0E7A-E07D-279E-A363-D70C1589AE8E}">
    <text>PYTHON OUTPUT - not optimized in Excel.
Source: outputs/hedge_strategy.csv and outputs/hedge_frontier.csv
Engine: 20,000 correlated price-temperature-volume scenarios; grid search minimizing expected cost plus CVaR tail penalty.
Excel role: display, reconciliation and weight control only.</text>
  </threadedComment>
  <threadedComment ref="E7" dT="2026-07-11T22:47:27.29" personId="{858F3C81-454C-4357-9700-43AEBCDD5DC1}" id="{3FDBE7D0-6EEA-B908-76B7-181C0C68AD3C}">
    <text>PYTHON OUTPUT - not optimized in Excel.
Source: outputs/hedge_strategy.csv and outputs/hedge_frontier.csv
Engine: 20,000 correlated price-temperature-volume scenarios; grid search minimizing expected cost plus CVaR tail penalty.
Excel role: display, reconciliation and weight control only.</text>
  </threadedComment>
  <threadedComment ref="F7" dT="2026-07-11T22:47:27.29" personId="{858F3C81-454C-4357-9700-43AEBCDD5DC1}" id="{7D874477-003F-08F3-1122-B604826DAAFB}">
    <text>PYTHON OUTPUT - not optimized in Excel.
Source: outputs/hedge_strategy.csv and outputs/hedge_frontier.csv
Engine: 20,000 correlated price-temperature-volume scenarios; grid search minimizing expected cost plus CVaR tail penalty.
Excel role: display, reconciliation and weight control only.</text>
  </threadedComment>
  <threadedComment ref="G7" dT="2026-07-11T22:47:27.29" personId="{858F3C81-454C-4357-9700-43AEBCDD5DC1}" id="{DCE4922A-4939-B0A3-1BB8-3E1406062CEC}">
    <text>PYTHON OUTPUT - not optimized in Excel.
Source: outputs/hedge_strategy.csv and outputs/hedge_frontier.csv
Engine: 20,000 correlated price-temperature-volume scenarios; grid search minimizing expected cost plus CVaR tail penalty.
Excel role: display, reconciliation and weight control only.</text>
  </threadedComment>
  <threadedComment ref="H7" dT="2026-07-11T22:47:27.29" personId="{858F3C81-454C-4357-9700-43AEBCDD5DC1}" id="{57347A58-B9CC-1E9C-3263-2D972ADBE4F8}">
    <text>PYTHON OUTPUT - not optimized in Excel.
Source: outputs/hedge_strategy.csv and outputs/hedge_frontier.csv
Engine: 20,000 correlated price-temperature-volume scenarios; grid search minimizing expected cost plus CVaR tail penalty.
Excel role: display, reconciliation and weight control only.</text>
  </threadedComment>
  <threadedComment ref="I7" dT="2026-07-11T22:47:27.29" personId="{858F3C81-454C-4357-9700-43AEBCDD5DC1}" id="{F6AE6E09-DF34-3988-58DA-E083A8B66482}">
    <text>PYTHON OUTPUT - not optimized in Excel.
Source: outputs/hedge_strategy.csv and outputs/hedge_frontier.csv
Engine: 20,000 correlated price-temperature-volume scenarios; grid search minimizing expected cost plus CVaR tail penalty.
Excel role: display, reconciliation and weight control only.</text>
  </threadedComment>
  <threadedComment ref="C8" dT="2026-07-11T22:47:27.29" personId="{858F3C81-454C-4357-9700-43AEBCDD5DC1}" id="{5565CBB4-240C-649D-D903-AD2E59A28C96}">
    <text>PYTHON OUTPUT - not optimized in Excel.
Source: outputs/hedge_strategy.csv and outputs/hedge_frontier.csv
Engine: 20,000 correlated price-temperature-volume scenarios; grid search minimizing expected cost plus CVaR tail penalty.
Excel role: display, reconciliation and weight control only.</text>
  </threadedComment>
  <threadedComment ref="E8" dT="2026-07-11T22:47:27.29" personId="{858F3C81-454C-4357-9700-43AEBCDD5DC1}" id="{4506CCA3-76E4-5EBD-2BFB-DE3A2194AB27}">
    <text>PYTHON OUTPUT - not optimized in Excel.
Source: outputs/hedge_strategy.csv and outputs/hedge_frontier.csv
Engine: 20,000 correlated price-temperature-volume scenarios; grid search minimizing expected cost plus CVaR tail penalty.
Excel role: display, reconciliation and weight control only.</text>
  </threadedComment>
  <threadedComment ref="F8" dT="2026-07-11T22:47:27.29" personId="{858F3C81-454C-4357-9700-43AEBCDD5DC1}" id="{F19C72C9-DE0F-0476-9DBB-FB44821938AE}">
    <text>PYTHON OUTPUT - not optimized in Excel.
Source: outputs/hedge_strategy.csv and outputs/hedge_frontier.csv
Engine: 20,000 correlated price-temperature-volume scenarios; grid search minimizing expected cost plus CVaR tail penalty.
Excel role: display, reconciliation and weight control only.</text>
  </threadedComment>
  <threadedComment ref="G8" dT="2026-07-11T22:47:27.29" personId="{858F3C81-454C-4357-9700-43AEBCDD5DC1}" id="{69BC9843-87B3-6992-DF5A-6BD2DF279BBF}">
    <text>PYTHON OUTPUT - not optimized in Excel.
Source: outputs/hedge_strategy.csv and outputs/hedge_frontier.csv
Engine: 20,000 correlated price-temperature-volume scenarios; grid search minimizing expected cost plus CVaR tail penalty.
Excel role: display, reconciliation and weight control only.</text>
  </threadedComment>
  <threadedComment ref="H8" dT="2026-07-11T22:47:27.29" personId="{858F3C81-454C-4357-9700-43AEBCDD5DC1}" id="{2A48F996-1623-953E-7721-3B0B80603B98}">
    <text>PYTHON OUTPUT - not optimized in Excel.
Source: outputs/hedge_strategy.csv and outputs/hedge_frontier.csv
Engine: 20,000 correlated price-temperature-volume scenarios; grid search minimizing expected cost plus CVaR tail penalty.
Excel role: display, reconciliation and weight control only.</text>
  </threadedComment>
  <threadedComment ref="I8" dT="2026-07-11T22:47:27.29" personId="{858F3C81-454C-4357-9700-43AEBCDD5DC1}" id="{A324014F-E732-956C-9C68-C314159A1EA3}">
    <text>PYTHON OUTPUT - not optimized in Excel.
Source: outputs/hedge_strategy.csv and outputs/hedge_frontier.csv
Engine: 20,000 correlated price-temperature-volume scenarios; grid search minimizing expected cost plus CVaR tail penalty.
Excel role: display, reconciliation and weight control only.</text>
  </threadedComment>
</ThreadedComments>
</file>

<file path=xl/threadedComments/threadedComment4.xml><?xml version="1.0" encoding="utf-8"?>
<ThreadedComments xmlns="http://schemas.microsoft.com/office/spreadsheetml/2018/threadedcomments" xmlns:x="http://schemas.openxmlformats.org/spreadsheetml/2006/main">
  <threadedComment ref="A7" dT="2026-07-11T22:47:27.30" personId="{858F3C81-454C-4357-9700-43AEBCDD5DC1}" id="{BD230BE9-8CBA-CCB0-2430-EC7DF45A5A14}">
    <text>PYTHON OUTPUT - Monte Carlo risk result.
Source: outputs/risk_summary.csv and data/processed/risk_losses_*.csv.gz
Method: correlated price, temperature and volume shocks; VaR/CVaR at 95%; 20,000 scenarios.
Excel role: downstream costing through linked formulas.</text>
  </threadedComment>
  <threadedComment ref="A8" dT="2026-07-11T22:47:27.30" personId="{858F3C81-454C-4357-9700-43AEBCDD5DC1}" id="{F5F8560E-5E8C-C61B-20D5-E79194FA5413}">
    <text>PYTHON OUTPUT - Monte Carlo risk result.
Source: outputs/risk_summary.csv and data/processed/risk_losses_*.csv.gz
Method: correlated price, temperature and volume shocks; VaR/CVaR at 95%; 20,000 scenarios.
Excel role: downstream costing through linked formulas.</text>
  </threadedComment>
  <threadedComment ref="A13" dT="2026-07-11T22:47:27.30" personId="{858F3C81-454C-4357-9700-43AEBCDD5DC1}" id="{E6BB67AB-97CE-D59B-FF5A-9788094A521E}">
    <text>PYTHON OUTPUT - statistical backtest.
Source: outputs/backtest_summary.csv and outputs/backtest_detail.csv
Method: parametric threshold vs empirical P95 floor; Kupiec unconditional coverage test.
Excel role: presentation and controls, not statistical recalculation.</text>
  </threadedComment>
  <threadedComment ref="A14" dT="2026-07-11T22:47:27.30" personId="{858F3C81-454C-4357-9700-43AEBCDD5DC1}" id="{F39B8820-A14E-544C-F1E8-C01F0B0DBF17}">
    <text>PYTHON OUTPUT - statistical backtest.
Source: outputs/backtest_summary.csv and outputs/backtest_detail.csv
Method: parametric threshold vs empirical P95 floor; Kupiec unconditional coverage test.
Excel role: presentation and controls, not statistical recalculation.</text>
  </threadedComment>
</ThreadedComments>
</file>

<file path=xl/threadedComments/threadedComment5.xml><?xml version="1.0" encoding="utf-8"?>
<ThreadedComments xmlns="http://schemas.microsoft.com/office/spreadsheetml/2018/threadedcomments" xmlns:x="http://schemas.openxmlformats.org/spreadsheetml/2006/main">
  <threadedComment ref="C7" dT="2026-07-11T22:47:27.30" personId="{858F3C81-454C-4357-9700-43AEBCDD5DC1}" id="{216F5D17-8211-FEDE-99B2-C3C4E6727CB2}">
    <text>HYBRID OUTPUT.
Procurement architecture generated in Python and imported from outputs/offer_simulator.csv.
The indicative price in column F is recalculated in Excel as procurement cost + commercial margin.
Offer: Essentiel Fixe</text>
  </threadedComment>
  <threadedComment ref="C8" dT="2026-07-11T22:47:27.30" personId="{858F3C81-454C-4357-9700-43AEBCDD5DC1}" id="{9245776D-8F59-0F62-7A75-43A8C1E78DCC}">
    <text>HYBRID OUTPUT.
Procurement architecture generated in Python and imported from outputs/offer_simulator.csv.
The indicative price in column F is recalculated in Excel as procurement cost + commercial margin.
Offer: Flex Mobilite</text>
  </threadedComment>
  <threadedComment ref="C9" dT="2026-07-11T22:47:27.30" personId="{858F3C81-454C-4357-9700-43AEBCDD5DC1}" id="{497520BD-B701-23D9-4E9E-33523FD96065}">
    <text>HYBRID OUTPUT.
Procurement architecture generated in Python and imported from outputs/offer_simulator.csv.
The indicative price in column F is recalculated in Excel as procurement cost + commercial margin.
Offer: Dynamique 15 min</text>
  </threadedComment>
  <threadedComment ref="C10" dT="2026-07-11T22:47:27.30" personId="{858F3C81-454C-4357-9700-43AEBCDD5DC1}" id="{9324AB09-EC53-6055-7A09-D761A9A7660D}">
    <text>HYBRID OUTPUT.
Procurement architecture generated in Python and imported from outputs/offer_simulator.csv.
The indicative price in column F is recalculated in Excel as procurement cost + commercial margin.
Offer: PPA Solaire Entreprise</text>
  </threadedComment>
  <threadedComment ref="C11" dT="2026-07-11T22:47:27.30" personId="{858F3C81-454C-4357-9700-43AEBCDD5DC1}" id="{B4980BE5-F942-335A-5692-16818F02C890}">
    <text>HYBRID OUTPUT.
Procurement architecture generated in Python and imported from outputs/offer_simulator.csv.
The indicative price in column F is recalculated in Excel as procurement cost + commercial margin.
Offer: Autoconsommation Residuelle</text>
  </threadedComment>
  <threadedComment ref="C12" dT="2026-07-11T22:47:27.30" personId="{858F3C81-454C-4357-9700-43AEBCDD5DC1}" id="{FDE88893-E0AE-743A-ADDF-D401799E9925}">
    <text>HYBRID OUTPUT.
Procurement architecture generated in Python and imported from outputs/offer_simulator.csv.
The indicative price in column F is recalculated in Excel as procurement cost + commercial margin.
Offer: Gaz Fixe Serenite</text>
  </threadedComment>
  <threadedComment ref="C13" dT="2026-07-11T22:47:27.30" personId="{858F3C81-454C-4357-9700-43AEBCDD5DC1}" id="{5C34EFCF-7D85-6BAE-E068-83D7910C2459}">
    <text>HYBRID OUTPUT.
Procurement architecture generated in Python and imported from outputs/offer_simulator.csv.
The indicative price in column F is recalculated in Excel as procurement cost + commercial margin.
Offer: Gaz Indexe PEG</text>
  </threadedComment>
  <threadedComment ref="C14" dT="2026-07-11T22:47:27.30" personId="{858F3C81-454C-4357-9700-43AEBCDD5DC1}" id="{132E9409-3B27-6164-59B1-5D96F5505133}">
    <text>HYBRID OUTPUT.
Procurement architecture generated in Python and imported from outputs/offer_simulator.csv.
The indicative price in column F is recalculated in Excel as procurement cost + commercial margin.
Offer: Gaz Vert 10%</text>
  </threadedComment>
</ThreadedComment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
  <sheetViews>
    <sheetView showGridLines="0" tabSelected="1" workbookViewId="0">
      <selection activeCell="M14" sqref="M14"/>
    </sheetView>
  </sheetViews>
  <sheetFormatPr baseColWidth="10" defaultColWidth="8.83203125" defaultRowHeight="14"/>
  <cols>
    <col min="1" max="1" width="20" customWidth="1"/>
    <col min="2" max="2" width="16" customWidth="1"/>
    <col min="3" max="3" width="33" customWidth="1"/>
    <col min="4" max="4" width="3" customWidth="1"/>
    <col min="5" max="5" width="16" customWidth="1"/>
    <col min="6" max="6" width="26" customWidth="1"/>
    <col min="7" max="10" width="11" customWidth="1"/>
  </cols>
  <sheetData>
    <row r="1" spans="1:10" ht="29" customHeight="1">
      <c r="A1" s="54" t="s">
        <v>0</v>
      </c>
      <c r="B1" s="54"/>
      <c r="C1" s="54"/>
      <c r="D1" s="54"/>
      <c r="E1" s="54"/>
      <c r="F1" s="54"/>
      <c r="G1" s="54"/>
      <c r="H1" s="54"/>
      <c r="I1" s="54"/>
      <c r="J1" s="54"/>
    </row>
    <row r="2" spans="1:10" ht="29" customHeight="1">
      <c r="A2" s="54"/>
      <c r="B2" s="54"/>
      <c r="C2" s="54"/>
      <c r="D2" s="54"/>
      <c r="E2" s="54"/>
      <c r="F2" s="54"/>
      <c r="G2" s="54"/>
      <c r="H2" s="54"/>
      <c r="I2" s="54"/>
      <c r="J2" s="54"/>
    </row>
    <row r="3" spans="1:10" ht="22" customHeight="1">
      <c r="A3" s="55" t="s">
        <v>1</v>
      </c>
      <c r="B3" s="55"/>
      <c r="C3" s="55"/>
      <c r="D3" s="55"/>
      <c r="E3" s="55"/>
      <c r="F3" s="55"/>
      <c r="G3" s="55"/>
      <c r="H3" s="55"/>
      <c r="I3" s="55"/>
      <c r="J3" s="55"/>
    </row>
    <row r="4" spans="1:10" ht="15">
      <c r="A4" s="1"/>
      <c r="B4" s="1"/>
      <c r="C4" s="1"/>
      <c r="D4" s="1"/>
      <c r="E4" s="1"/>
      <c r="F4" s="1"/>
      <c r="G4" s="1"/>
      <c r="H4" s="1"/>
      <c r="I4" s="1"/>
      <c r="J4" s="1"/>
    </row>
    <row r="5" spans="1:10">
      <c r="A5" s="56" t="s">
        <v>2</v>
      </c>
      <c r="B5" s="56"/>
      <c r="C5" s="56"/>
      <c r="D5" s="56"/>
      <c r="E5" s="56"/>
      <c r="F5" s="56"/>
      <c r="G5" s="56"/>
      <c r="H5" s="56"/>
      <c r="I5" s="56"/>
      <c r="J5" s="56"/>
    </row>
    <row r="6" spans="1:10">
      <c r="A6" s="56"/>
      <c r="B6" s="56"/>
      <c r="C6" s="56"/>
      <c r="D6" s="56"/>
      <c r="E6" s="56"/>
      <c r="F6" s="56"/>
      <c r="G6" s="56"/>
      <c r="H6" s="56"/>
      <c r="I6" s="56"/>
      <c r="J6" s="56"/>
    </row>
    <row r="7" spans="1:10" ht="15">
      <c r="A7" s="1"/>
      <c r="B7" s="1"/>
      <c r="C7" s="1"/>
      <c r="D7" s="1"/>
      <c r="E7" s="1"/>
      <c r="F7" s="1"/>
      <c r="G7" s="1"/>
      <c r="H7" s="1"/>
      <c r="I7" s="1"/>
      <c r="J7" s="1"/>
    </row>
    <row r="8" spans="1:10" ht="15">
      <c r="A8" s="2" t="s">
        <v>3</v>
      </c>
      <c r="B8" s="3" t="s">
        <v>4</v>
      </c>
      <c r="C8" s="4" t="s">
        <v>5</v>
      </c>
      <c r="D8" s="1"/>
      <c r="E8" s="1"/>
      <c r="F8" s="1"/>
      <c r="G8" s="1"/>
      <c r="H8" s="1"/>
      <c r="I8" s="1"/>
      <c r="J8" s="1"/>
    </row>
    <row r="9" spans="1:10" ht="15">
      <c r="A9" s="5" t="s">
        <v>6</v>
      </c>
      <c r="B9" s="6">
        <v>337000</v>
      </c>
      <c r="C9" s="5" t="s">
        <v>7</v>
      </c>
      <c r="D9" s="1"/>
      <c r="E9" s="1"/>
      <c r="F9" s="1"/>
      <c r="G9" s="1"/>
      <c r="H9" s="1"/>
      <c r="I9" s="1"/>
      <c r="J9" s="1"/>
    </row>
    <row r="10" spans="1:10" ht="15">
      <c r="A10" s="7" t="s">
        <v>8</v>
      </c>
      <c r="B10" s="8">
        <v>2.6909999999999998</v>
      </c>
      <c r="C10" s="7" t="s">
        <v>9</v>
      </c>
      <c r="D10" s="1"/>
      <c r="E10" s="1"/>
      <c r="F10" s="1"/>
      <c r="G10" s="1"/>
      <c r="H10" s="1"/>
      <c r="I10" s="1"/>
      <c r="J10" s="1"/>
    </row>
    <row r="11" spans="1:10" ht="15">
      <c r="A11" s="7" t="s">
        <v>10</v>
      </c>
      <c r="B11" s="9">
        <v>172.33</v>
      </c>
      <c r="C11" s="7" t="s">
        <v>11</v>
      </c>
      <c r="D11" s="1"/>
      <c r="E11" s="1"/>
      <c r="F11" s="1"/>
      <c r="G11" s="1"/>
      <c r="H11" s="1"/>
      <c r="I11" s="1"/>
      <c r="J11" s="1"/>
    </row>
    <row r="12" spans="1:10" ht="15">
      <c r="A12" s="10" t="s">
        <v>12</v>
      </c>
      <c r="B12" s="11">
        <v>20000</v>
      </c>
      <c r="C12" s="10" t="s">
        <v>13</v>
      </c>
      <c r="D12" s="1"/>
      <c r="E12" s="1"/>
      <c r="F12" s="1"/>
      <c r="G12" s="1"/>
      <c r="H12" s="1"/>
      <c r="I12" s="1"/>
      <c r="J12" s="1"/>
    </row>
    <row r="13" spans="1:10" ht="15">
      <c r="A13" s="1"/>
      <c r="B13" s="1"/>
      <c r="C13" s="1"/>
      <c r="D13" s="1"/>
      <c r="E13" s="1"/>
      <c r="F13" s="1"/>
      <c r="G13" s="1"/>
      <c r="H13" s="1"/>
      <c r="I13" s="1"/>
      <c r="J13" s="1"/>
    </row>
    <row r="14" spans="1:10" ht="15">
      <c r="A14" s="1"/>
      <c r="B14" s="1"/>
      <c r="C14" s="1"/>
      <c r="D14" s="1"/>
      <c r="E14" s="1"/>
      <c r="F14" s="1"/>
      <c r="G14" s="1"/>
      <c r="H14" s="1"/>
      <c r="I14" s="1"/>
      <c r="J14" s="1"/>
    </row>
    <row r="15" spans="1:10">
      <c r="A15" s="57" t="s">
        <v>14</v>
      </c>
      <c r="B15" s="57"/>
      <c r="C15" s="57"/>
      <c r="D15" s="57"/>
      <c r="E15" s="57" t="s">
        <v>15</v>
      </c>
      <c r="F15" s="57"/>
      <c r="G15" s="57"/>
      <c r="H15" s="57"/>
      <c r="I15" s="57"/>
      <c r="J15" s="57"/>
    </row>
    <row r="16" spans="1:10" ht="15">
      <c r="A16" s="5" t="s">
        <v>16</v>
      </c>
      <c r="B16" s="5" t="s">
        <v>17</v>
      </c>
      <c r="C16" s="5" t="s">
        <v>18</v>
      </c>
      <c r="D16" s="1"/>
      <c r="E16" s="12" t="s">
        <v>19</v>
      </c>
      <c r="F16" s="5" t="s">
        <v>20</v>
      </c>
      <c r="G16" s="1"/>
      <c r="H16" s="1"/>
      <c r="I16" s="1"/>
      <c r="J16" s="1"/>
    </row>
    <row r="17" spans="1:10" ht="15">
      <c r="A17" s="7" t="s">
        <v>21</v>
      </c>
      <c r="B17" s="7" t="s">
        <v>22</v>
      </c>
      <c r="C17" s="7" t="s">
        <v>23</v>
      </c>
      <c r="D17" s="1"/>
      <c r="E17" s="13" t="s">
        <v>24</v>
      </c>
      <c r="F17" s="7" t="s">
        <v>25</v>
      </c>
      <c r="G17" s="1"/>
      <c r="H17" s="1"/>
      <c r="I17" s="1"/>
      <c r="J17" s="1"/>
    </row>
    <row r="18" spans="1:10" ht="15">
      <c r="A18" s="7" t="s">
        <v>26</v>
      </c>
      <c r="B18" s="7" t="s">
        <v>27</v>
      </c>
      <c r="C18" s="7" t="s">
        <v>28</v>
      </c>
      <c r="D18" s="1"/>
      <c r="E18" s="13" t="s">
        <v>29</v>
      </c>
      <c r="F18" s="7" t="s">
        <v>30</v>
      </c>
      <c r="G18" s="1"/>
      <c r="H18" s="1"/>
      <c r="I18" s="1"/>
      <c r="J18" s="1"/>
    </row>
    <row r="19" spans="1:10" ht="15">
      <c r="A19" s="7" t="s">
        <v>31</v>
      </c>
      <c r="B19" s="7" t="s">
        <v>32</v>
      </c>
      <c r="C19" s="7" t="s">
        <v>33</v>
      </c>
      <c r="D19" s="1"/>
      <c r="E19" s="13" t="s">
        <v>34</v>
      </c>
      <c r="F19" s="7" t="s">
        <v>35</v>
      </c>
      <c r="G19" s="1"/>
      <c r="H19" s="1"/>
      <c r="I19" s="1"/>
      <c r="J19" s="1"/>
    </row>
    <row r="20" spans="1:10" ht="15">
      <c r="A20" s="7" t="s">
        <v>36</v>
      </c>
      <c r="B20" s="7" t="s">
        <v>37</v>
      </c>
      <c r="C20" s="7" t="s">
        <v>38</v>
      </c>
      <c r="D20" s="1"/>
      <c r="E20" s="14" t="s">
        <v>39</v>
      </c>
      <c r="F20" s="15" t="s">
        <v>40</v>
      </c>
      <c r="G20" s="1"/>
      <c r="H20" s="1"/>
      <c r="I20" s="1"/>
      <c r="J20" s="1"/>
    </row>
    <row r="21" spans="1:10" ht="15">
      <c r="A21" s="7" t="s">
        <v>41</v>
      </c>
      <c r="B21" s="7" t="s">
        <v>42</v>
      </c>
      <c r="C21" s="7" t="s">
        <v>43</v>
      </c>
      <c r="D21" s="1"/>
      <c r="E21" s="1"/>
      <c r="F21" s="1"/>
      <c r="G21" s="1"/>
      <c r="H21" s="1"/>
      <c r="I21" s="1"/>
      <c r="J21" s="1"/>
    </row>
    <row r="22" spans="1:10" ht="15">
      <c r="A22" s="10" t="s">
        <v>44</v>
      </c>
      <c r="B22" s="10" t="s">
        <v>45</v>
      </c>
      <c r="C22" s="10" t="s">
        <v>46</v>
      </c>
      <c r="D22" s="1"/>
      <c r="E22" s="1"/>
      <c r="F22" s="1"/>
      <c r="G22" s="1"/>
      <c r="H22" s="1"/>
      <c r="I22" s="1"/>
      <c r="J22" s="1"/>
    </row>
    <row r="23" spans="1:10" ht="15">
      <c r="A23" s="1"/>
      <c r="B23" s="1"/>
      <c r="C23" s="1"/>
      <c r="D23" s="1"/>
      <c r="E23" s="1"/>
      <c r="F23" s="1"/>
      <c r="G23" s="1"/>
      <c r="H23" s="1"/>
      <c r="I23" s="1"/>
      <c r="J23" s="1"/>
    </row>
    <row r="24" spans="1:10">
      <c r="A24" s="58" t="s">
        <v>47</v>
      </c>
      <c r="B24" s="58"/>
      <c r="C24" s="58"/>
      <c r="D24" s="58"/>
      <c r="E24" s="58"/>
      <c r="F24" s="58"/>
      <c r="G24" s="58"/>
      <c r="H24" s="58"/>
      <c r="I24" s="58"/>
      <c r="J24" s="58"/>
    </row>
    <row r="25" spans="1:10">
      <c r="A25" s="58"/>
      <c r="B25" s="58"/>
      <c r="C25" s="58"/>
      <c r="D25" s="58"/>
      <c r="E25" s="58"/>
      <c r="F25" s="58"/>
      <c r="G25" s="58"/>
      <c r="H25" s="58"/>
      <c r="I25" s="58"/>
      <c r="J25" s="58"/>
    </row>
    <row r="26" spans="1:10">
      <c r="A26" s="58"/>
      <c r="B26" s="58"/>
      <c r="C26" s="58"/>
      <c r="D26" s="58"/>
      <c r="E26" s="58"/>
      <c r="F26" s="58"/>
      <c r="G26" s="58"/>
      <c r="H26" s="58"/>
      <c r="I26" s="58"/>
      <c r="J26" s="58"/>
    </row>
  </sheetData>
  <mergeCells count="5">
    <mergeCell ref="A1:J2"/>
    <mergeCell ref="A3:J3"/>
    <mergeCell ref="A5:J6"/>
    <mergeCell ref="A15:J15"/>
    <mergeCell ref="A24:J2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showGridLines="0" workbookViewId="0">
      <selection activeCell="C12" sqref="C12"/>
    </sheetView>
  </sheetViews>
  <sheetFormatPr baseColWidth="10" defaultColWidth="8.83203125" defaultRowHeight="14"/>
  <cols>
    <col min="1" max="1" width="30" customWidth="1"/>
    <col min="2" max="2" width="35" customWidth="1"/>
    <col min="3" max="3" width="70" customWidth="1"/>
    <col min="4" max="4" width="16" customWidth="1"/>
    <col min="5" max="5" width="14" customWidth="1"/>
    <col min="6" max="8" width="10" customWidth="1"/>
  </cols>
  <sheetData>
    <row r="1" spans="1:8" ht="29" customHeight="1">
      <c r="A1" s="54" t="s">
        <v>305</v>
      </c>
      <c r="B1" s="54"/>
      <c r="C1" s="54"/>
      <c r="D1" s="54"/>
      <c r="E1" s="54"/>
      <c r="F1" s="54"/>
      <c r="G1" s="54"/>
      <c r="H1" s="54"/>
    </row>
    <row r="2" spans="1:8" ht="29" customHeight="1">
      <c r="A2" s="54"/>
      <c r="B2" s="54"/>
      <c r="C2" s="54"/>
      <c r="D2" s="54"/>
      <c r="E2" s="54"/>
      <c r="F2" s="54"/>
      <c r="G2" s="54"/>
      <c r="H2" s="54"/>
    </row>
    <row r="3" spans="1:8" ht="22" customHeight="1">
      <c r="A3" s="55" t="s">
        <v>306</v>
      </c>
      <c r="B3" s="55"/>
      <c r="C3" s="55"/>
      <c r="D3" s="55"/>
      <c r="E3" s="55"/>
      <c r="F3" s="55"/>
      <c r="G3" s="55"/>
      <c r="H3" s="55"/>
    </row>
    <row r="4" spans="1:8" ht="15">
      <c r="A4" s="1"/>
      <c r="B4" s="1"/>
      <c r="C4" s="1"/>
      <c r="D4" s="1"/>
      <c r="E4" s="1"/>
      <c r="F4" s="1"/>
      <c r="G4" s="1"/>
      <c r="H4" s="1"/>
    </row>
    <row r="5" spans="1:8">
      <c r="A5" s="57" t="s">
        <v>307</v>
      </c>
      <c r="B5" s="57"/>
      <c r="C5" s="57"/>
      <c r="D5" s="57"/>
      <c r="E5" s="57"/>
      <c r="F5" s="57"/>
      <c r="G5" s="57"/>
      <c r="H5" s="57"/>
    </row>
    <row r="6" spans="1:8" ht="15">
      <c r="A6" s="2" t="s">
        <v>308</v>
      </c>
      <c r="B6" s="3" t="s">
        <v>309</v>
      </c>
      <c r="C6" s="3" t="s">
        <v>310</v>
      </c>
      <c r="D6" s="3" t="s">
        <v>311</v>
      </c>
      <c r="E6" s="4" t="s">
        <v>312</v>
      </c>
      <c r="F6" s="1"/>
      <c r="G6" s="1"/>
      <c r="H6" s="1"/>
    </row>
    <row r="7" spans="1:8" ht="15">
      <c r="A7" s="5" t="s">
        <v>313</v>
      </c>
      <c r="B7" s="5" t="s">
        <v>314</v>
      </c>
      <c r="C7" s="50" t="s">
        <v>315</v>
      </c>
      <c r="D7" s="5" t="s">
        <v>76</v>
      </c>
      <c r="E7" s="5" t="s">
        <v>175</v>
      </c>
      <c r="F7" s="1"/>
      <c r="G7" s="1"/>
      <c r="H7" s="1"/>
    </row>
    <row r="8" spans="1:8" ht="28">
      <c r="A8" s="7" t="s">
        <v>316</v>
      </c>
      <c r="B8" s="7" t="s">
        <v>317</v>
      </c>
      <c r="C8" s="51" t="s">
        <v>318</v>
      </c>
      <c r="D8" s="7" t="s">
        <v>76</v>
      </c>
      <c r="E8" s="7" t="s">
        <v>175</v>
      </c>
      <c r="F8" s="1"/>
      <c r="G8" s="1"/>
      <c r="H8" s="1"/>
    </row>
    <row r="9" spans="1:8" ht="15">
      <c r="A9" s="7" t="s">
        <v>319</v>
      </c>
      <c r="B9" s="7" t="s">
        <v>320</v>
      </c>
      <c r="C9" s="51" t="s">
        <v>321</v>
      </c>
      <c r="D9" s="7" t="s">
        <v>76</v>
      </c>
      <c r="E9" s="7" t="s">
        <v>175</v>
      </c>
      <c r="F9" s="1"/>
      <c r="G9" s="1"/>
      <c r="H9" s="1"/>
    </row>
    <row r="10" spans="1:8" ht="28">
      <c r="A10" s="7" t="s">
        <v>322</v>
      </c>
      <c r="B10" s="7" t="s">
        <v>323</v>
      </c>
      <c r="C10" s="51" t="s">
        <v>324</v>
      </c>
      <c r="D10" s="7" t="s">
        <v>76</v>
      </c>
      <c r="E10" s="7" t="s">
        <v>175</v>
      </c>
      <c r="F10" s="1"/>
      <c r="G10" s="1"/>
      <c r="H10" s="1"/>
    </row>
    <row r="11" spans="1:8" ht="15">
      <c r="A11" s="7" t="s">
        <v>325</v>
      </c>
      <c r="B11" s="7" t="s">
        <v>326</v>
      </c>
      <c r="C11" s="51" t="s">
        <v>327</v>
      </c>
      <c r="D11" s="7" t="s">
        <v>76</v>
      </c>
      <c r="E11" s="7" t="s">
        <v>175</v>
      </c>
      <c r="F11" s="1"/>
      <c r="G11" s="1"/>
      <c r="H11" s="1"/>
    </row>
    <row r="12" spans="1:8" ht="28">
      <c r="A12" s="10" t="s">
        <v>328</v>
      </c>
      <c r="B12" s="10" t="s">
        <v>329</v>
      </c>
      <c r="C12" s="52" t="s">
        <v>330</v>
      </c>
      <c r="D12" s="10" t="s">
        <v>76</v>
      </c>
      <c r="E12" s="10" t="s">
        <v>175</v>
      </c>
      <c r="F12" s="1"/>
      <c r="G12" s="1"/>
      <c r="H12" s="1"/>
    </row>
    <row r="13" spans="1:8" ht="15">
      <c r="A13" s="1"/>
      <c r="B13" s="1"/>
      <c r="C13" s="1"/>
      <c r="D13" s="1"/>
      <c r="E13" s="1"/>
      <c r="F13" s="1"/>
      <c r="G13" s="1"/>
      <c r="H13" s="1"/>
    </row>
    <row r="14" spans="1:8" ht="15">
      <c r="A14" s="1"/>
      <c r="B14" s="1"/>
      <c r="C14" s="1"/>
      <c r="D14" s="1"/>
      <c r="E14" s="1"/>
      <c r="F14" s="1"/>
      <c r="G14" s="1"/>
      <c r="H14" s="1"/>
    </row>
    <row r="15" spans="1:8" ht="15">
      <c r="A15" s="1"/>
      <c r="B15" s="1"/>
      <c r="C15" s="1"/>
      <c r="D15" s="1"/>
      <c r="E15" s="1"/>
      <c r="F15" s="1"/>
      <c r="G15" s="1"/>
      <c r="H15" s="1"/>
    </row>
    <row r="16" spans="1:8">
      <c r="A16" s="57" t="s">
        <v>331</v>
      </c>
      <c r="B16" s="57"/>
      <c r="C16" s="57"/>
      <c r="D16" s="57"/>
      <c r="E16" s="57"/>
      <c r="F16" s="57"/>
      <c r="G16" s="57"/>
      <c r="H16" s="57"/>
    </row>
    <row r="17" spans="1:8" ht="15">
      <c r="A17" s="2" t="s">
        <v>165</v>
      </c>
      <c r="B17" s="3" t="s">
        <v>332</v>
      </c>
      <c r="C17" s="3" t="s">
        <v>333</v>
      </c>
      <c r="D17" s="4" t="s">
        <v>334</v>
      </c>
      <c r="E17" s="1"/>
      <c r="F17" s="1"/>
      <c r="G17" s="1"/>
      <c r="H17" s="1"/>
    </row>
    <row r="18" spans="1:8" ht="15">
      <c r="A18" s="5" t="s">
        <v>175</v>
      </c>
      <c r="B18" s="5" t="s">
        <v>335</v>
      </c>
      <c r="C18" s="5" t="s">
        <v>336</v>
      </c>
      <c r="D18" s="5" t="s">
        <v>337</v>
      </c>
      <c r="E18" s="1"/>
      <c r="F18" s="1"/>
      <c r="G18" s="1"/>
      <c r="H18" s="1"/>
    </row>
    <row r="19" spans="1:8" ht="15">
      <c r="A19" s="7" t="s">
        <v>173</v>
      </c>
      <c r="B19" s="7" t="s">
        <v>338</v>
      </c>
      <c r="C19" s="7" t="s">
        <v>339</v>
      </c>
      <c r="D19" s="7" t="s">
        <v>340</v>
      </c>
      <c r="E19" s="1"/>
      <c r="F19" s="1"/>
      <c r="G19" s="1"/>
      <c r="H19" s="1"/>
    </row>
    <row r="20" spans="1:8" ht="15">
      <c r="A20" s="7" t="s">
        <v>124</v>
      </c>
      <c r="B20" s="7" t="s">
        <v>341</v>
      </c>
      <c r="C20" s="7" t="s">
        <v>342</v>
      </c>
      <c r="D20" s="7" t="s">
        <v>343</v>
      </c>
      <c r="E20" s="1"/>
      <c r="F20" s="1"/>
      <c r="G20" s="1"/>
      <c r="H20" s="1"/>
    </row>
    <row r="21" spans="1:8" ht="15">
      <c r="A21" s="10" t="s">
        <v>344</v>
      </c>
      <c r="B21" s="10" t="s">
        <v>345</v>
      </c>
      <c r="C21" s="10" t="s">
        <v>346</v>
      </c>
      <c r="D21" s="10" t="s">
        <v>347</v>
      </c>
      <c r="E21" s="1"/>
      <c r="F21" s="1"/>
      <c r="G21" s="1"/>
      <c r="H21" s="1"/>
    </row>
  </sheetData>
  <mergeCells count="4">
    <mergeCell ref="A1:H2"/>
    <mergeCell ref="A3:H3"/>
    <mergeCell ref="A5:H5"/>
    <mergeCell ref="A16:H1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5"/>
  <sheetViews>
    <sheetView showGridLines="0" workbookViewId="0">
      <selection activeCell="A14" sqref="A14"/>
    </sheetView>
  </sheetViews>
  <sheetFormatPr baseColWidth="10" defaultColWidth="8.83203125" defaultRowHeight="14"/>
  <cols>
    <col min="1" max="1" width="32" customWidth="1"/>
    <col min="2" max="5" width="16" customWidth="1"/>
    <col min="6" max="6" width="13" customWidth="1"/>
    <col min="7" max="7" width="30" customWidth="1"/>
    <col min="8" max="8" width="10" customWidth="1"/>
  </cols>
  <sheetData>
    <row r="1" spans="1:8" ht="29" customHeight="1">
      <c r="A1" s="54" t="s">
        <v>348</v>
      </c>
      <c r="B1" s="54"/>
      <c r="C1" s="54"/>
      <c r="D1" s="54"/>
      <c r="E1" s="54"/>
      <c r="F1" s="54"/>
      <c r="G1" s="54"/>
      <c r="H1" s="54"/>
    </row>
    <row r="2" spans="1:8" ht="29" customHeight="1">
      <c r="A2" s="54"/>
      <c r="B2" s="54"/>
      <c r="C2" s="54"/>
      <c r="D2" s="54"/>
      <c r="E2" s="54"/>
      <c r="F2" s="54"/>
      <c r="G2" s="54"/>
      <c r="H2" s="54"/>
    </row>
    <row r="3" spans="1:8" ht="22" customHeight="1">
      <c r="A3" s="55" t="s">
        <v>349</v>
      </c>
      <c r="B3" s="55"/>
      <c r="C3" s="55"/>
      <c r="D3" s="55"/>
      <c r="E3" s="55"/>
      <c r="F3" s="55"/>
      <c r="G3" s="55"/>
      <c r="H3" s="55"/>
    </row>
    <row r="4" spans="1:8" ht="15">
      <c r="A4" s="1"/>
      <c r="B4" s="1"/>
      <c r="C4" s="1"/>
      <c r="D4" s="1"/>
      <c r="E4" s="1"/>
      <c r="F4" s="1"/>
      <c r="G4" s="1"/>
      <c r="H4" s="1"/>
    </row>
    <row r="5" spans="1:8" ht="19">
      <c r="A5" s="57" t="s">
        <v>350</v>
      </c>
      <c r="B5" s="99" t="str">
        <f>IF(COUNTIF(F9:F15,"FAIL")=0,"PASS","FAIL")</f>
        <v>PASS</v>
      </c>
      <c r="C5" s="57"/>
      <c r="D5" s="57"/>
      <c r="E5" s="57"/>
      <c r="F5" s="57"/>
      <c r="G5" s="57"/>
      <c r="H5" s="57"/>
    </row>
    <row r="6" spans="1:8" ht="19">
      <c r="A6" s="53" t="s">
        <v>350</v>
      </c>
      <c r="B6" s="53"/>
      <c r="C6" s="1"/>
      <c r="D6" s="1"/>
      <c r="E6" s="1"/>
      <c r="F6" s="1"/>
      <c r="G6" s="1"/>
      <c r="H6" s="1"/>
    </row>
    <row r="7" spans="1:8" ht="15">
      <c r="A7" s="1"/>
      <c r="B7" s="1"/>
      <c r="C7" s="1"/>
      <c r="D7" s="1"/>
      <c r="E7" s="1"/>
      <c r="F7" s="1"/>
      <c r="G7" s="1"/>
      <c r="H7" s="1"/>
    </row>
    <row r="8" spans="1:8" ht="15">
      <c r="A8" s="2" t="s">
        <v>351</v>
      </c>
      <c r="B8" s="3" t="s">
        <v>352</v>
      </c>
      <c r="C8" s="3" t="s">
        <v>353</v>
      </c>
      <c r="D8" s="3" t="s">
        <v>354</v>
      </c>
      <c r="E8" s="3" t="s">
        <v>355</v>
      </c>
      <c r="F8" s="3" t="s">
        <v>356</v>
      </c>
      <c r="G8" s="4" t="s">
        <v>357</v>
      </c>
      <c r="H8" s="1"/>
    </row>
    <row r="9" spans="1:8" ht="15">
      <c r="A9" s="5" t="s">
        <v>358</v>
      </c>
      <c r="B9" s="28">
        <f>'05 Hedge Strategy'!C7+'05 Hedge Strategy'!E7+'05 Hedge Strategy'!F7</f>
        <v>1</v>
      </c>
      <c r="C9" s="28">
        <v>1</v>
      </c>
      <c r="D9" s="28">
        <f t="shared" ref="D9:D15" si="0">B9-C9</f>
        <v>0</v>
      </c>
      <c r="E9" s="28">
        <v>9.9999999999999995E-7</v>
      </c>
      <c r="F9" s="28" t="str">
        <f>IF(ABS(D9)&lt;=E9,"PASS","FAIL")</f>
        <v>PASS</v>
      </c>
      <c r="G9" s="5" t="s">
        <v>27</v>
      </c>
      <c r="H9" s="1"/>
    </row>
    <row r="10" spans="1:8" ht="15">
      <c r="A10" s="7" t="s">
        <v>359</v>
      </c>
      <c r="B10" s="8">
        <f>'05 Hedge Strategy'!C8+'05 Hedge Strategy'!E8+'05 Hedge Strategy'!F8</f>
        <v>1</v>
      </c>
      <c r="C10" s="8">
        <v>1</v>
      </c>
      <c r="D10" s="8">
        <f t="shared" si="0"/>
        <v>0</v>
      </c>
      <c r="E10" s="8">
        <v>9.9999999999999995E-7</v>
      </c>
      <c r="F10" s="8" t="str">
        <f>IF(ABS(D10)&lt;=E10,"PASS","FAIL")</f>
        <v>PASS</v>
      </c>
      <c r="G10" s="7" t="s">
        <v>27</v>
      </c>
      <c r="H10" s="1"/>
    </row>
    <row r="11" spans="1:8" ht="15">
      <c r="A11" s="7" t="s">
        <v>360</v>
      </c>
      <c r="B11" s="8">
        <f>'06 Cost Stack'!B14</f>
        <v>74.729601538461537</v>
      </c>
      <c r="C11" s="8">
        <v>0</v>
      </c>
      <c r="D11" s="8">
        <f t="shared" si="0"/>
        <v>74.729601538461537</v>
      </c>
      <c r="E11" s="8">
        <v>0</v>
      </c>
      <c r="F11" s="8" t="str">
        <f>IF(B11&gt;C11,"PASS","FAIL")</f>
        <v>PASS</v>
      </c>
      <c r="G11" s="7" t="s">
        <v>361</v>
      </c>
      <c r="H11" s="1"/>
    </row>
    <row r="12" spans="1:8" ht="15">
      <c r="A12" s="7" t="s">
        <v>362</v>
      </c>
      <c r="B12" s="8">
        <f>'06 Cost Stack'!B27</f>
        <v>50.348779999999998</v>
      </c>
      <c r="C12" s="8">
        <v>0</v>
      </c>
      <c r="D12" s="8">
        <f t="shared" si="0"/>
        <v>50.348779999999998</v>
      </c>
      <c r="E12" s="8">
        <v>0</v>
      </c>
      <c r="F12" s="8" t="str">
        <f>IF(B12&gt;C12,"PASS","FAIL")</f>
        <v>PASS</v>
      </c>
      <c r="G12" s="7" t="s">
        <v>361</v>
      </c>
      <c r="H12" s="1"/>
    </row>
    <row r="13" spans="1:8" ht="15">
      <c r="A13" s="7" t="s">
        <v>363</v>
      </c>
      <c r="B13" s="8">
        <f>'07 Monthly Budget'!F20</f>
        <v>172.32551245986198</v>
      </c>
      <c r="C13" s="8">
        <f>'07 Monthly Budget'!D20+'07 Monthly Budget'!E20</f>
        <v>172.32551245986201</v>
      </c>
      <c r="D13" s="8">
        <f t="shared" si="0"/>
        <v>0</v>
      </c>
      <c r="E13" s="8">
        <v>9.9999999999999995E-7</v>
      </c>
      <c r="F13" s="8" t="str">
        <f>IF(ABS(D13)&lt;=E13,"PASS","FAIL")</f>
        <v>PASS</v>
      </c>
      <c r="G13" s="7" t="s">
        <v>364</v>
      </c>
      <c r="H13" s="1"/>
    </row>
    <row r="14" spans="1:8" ht="15">
      <c r="A14" s="7" t="s">
        <v>365</v>
      </c>
      <c r="B14" s="8">
        <f>COUNTIF('09 Offer Simulator'!G7:G14,"PASS")</f>
        <v>8</v>
      </c>
      <c r="C14" s="8">
        <v>8</v>
      </c>
      <c r="D14" s="8">
        <f t="shared" si="0"/>
        <v>0</v>
      </c>
      <c r="E14" s="8">
        <v>0</v>
      </c>
      <c r="F14" s="8" t="str">
        <f>IF(B14=C14,"PASS","FAIL")</f>
        <v>PASS</v>
      </c>
      <c r="G14" s="7" t="s">
        <v>42</v>
      </c>
      <c r="H14" s="1"/>
    </row>
    <row r="15" spans="1:8" ht="15">
      <c r="A15" s="10" t="s">
        <v>366</v>
      </c>
      <c r="B15" s="30">
        <f>MIN('08 Risk Backtest'!H13:H14)</f>
        <v>0.40029999999999999</v>
      </c>
      <c r="C15" s="30">
        <v>0.05</v>
      </c>
      <c r="D15" s="30">
        <f t="shared" si="0"/>
        <v>0.3503</v>
      </c>
      <c r="E15" s="30">
        <v>0</v>
      </c>
      <c r="F15" s="30" t="str">
        <f>IF(B15&gt;C15,"PASS","FAIL")</f>
        <v>PASS</v>
      </c>
      <c r="G15" s="10" t="s">
        <v>37</v>
      </c>
      <c r="H15" s="1"/>
    </row>
  </sheetData>
  <mergeCells count="3">
    <mergeCell ref="A1:H2"/>
    <mergeCell ref="A3:H3"/>
    <mergeCell ref="A5:H5"/>
  </mergeCells>
  <conditionalFormatting sqref="F9:F15">
    <cfRule type="containsText" dxfId="3" priority="1" operator="containsText" text="PASS"/>
    <cfRule type="containsText" dxfId="2" priority="2" operator="containsText" text="FAIL"/>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4"/>
  <sheetViews>
    <sheetView showGridLines="0" workbookViewId="0">
      <selection activeCell="F11" sqref="F11"/>
    </sheetView>
  </sheetViews>
  <sheetFormatPr baseColWidth="10" defaultColWidth="8.83203125" defaultRowHeight="14"/>
  <cols>
    <col min="1" max="1" width="25" customWidth="1"/>
    <col min="2" max="2" width="22" customWidth="1"/>
    <col min="3" max="4" width="42" customWidth="1"/>
    <col min="5" max="5" width="32" customWidth="1"/>
    <col min="6" max="6" width="28" customWidth="1"/>
    <col min="7" max="7" width="16" customWidth="1"/>
    <col min="8" max="10" width="10" customWidth="1"/>
  </cols>
  <sheetData>
    <row r="1" spans="1:10" ht="29" customHeight="1">
      <c r="A1" s="54" t="s">
        <v>367</v>
      </c>
      <c r="B1" s="54"/>
      <c r="C1" s="54"/>
      <c r="D1" s="54"/>
      <c r="E1" s="54"/>
      <c r="F1" s="54"/>
      <c r="G1" s="54"/>
      <c r="H1" s="54"/>
      <c r="I1" s="54"/>
      <c r="J1" s="54"/>
    </row>
    <row r="2" spans="1:10" ht="29" customHeight="1">
      <c r="A2" s="54"/>
      <c r="B2" s="54"/>
      <c r="C2" s="54"/>
      <c r="D2" s="54"/>
      <c r="E2" s="54"/>
      <c r="F2" s="54"/>
      <c r="G2" s="54"/>
      <c r="H2" s="54"/>
      <c r="I2" s="54"/>
      <c r="J2" s="54"/>
    </row>
    <row r="3" spans="1:10" ht="22" customHeight="1">
      <c r="A3" s="55" t="s">
        <v>368</v>
      </c>
      <c r="B3" s="55"/>
      <c r="C3" s="55"/>
      <c r="D3" s="55"/>
      <c r="E3" s="55"/>
      <c r="F3" s="55"/>
      <c r="G3" s="55"/>
      <c r="H3" s="55"/>
      <c r="I3" s="55"/>
      <c r="J3" s="55"/>
    </row>
    <row r="4" spans="1:10" ht="15">
      <c r="A4" s="1"/>
      <c r="B4" s="1"/>
      <c r="C4" s="1"/>
      <c r="D4" s="1"/>
      <c r="E4" s="1"/>
      <c r="F4" s="1"/>
      <c r="G4" s="1"/>
      <c r="H4" s="1"/>
      <c r="I4" s="1"/>
      <c r="J4" s="1"/>
    </row>
    <row r="5" spans="1:10">
      <c r="A5" s="57" t="s">
        <v>369</v>
      </c>
      <c r="B5" s="57"/>
      <c r="C5" s="57"/>
      <c r="D5" s="57"/>
      <c r="E5" s="57"/>
      <c r="F5" s="57"/>
      <c r="G5" s="57"/>
      <c r="H5" s="57"/>
      <c r="I5" s="57"/>
      <c r="J5" s="57"/>
    </row>
    <row r="6" spans="1:10" ht="15">
      <c r="A6" s="2" t="s">
        <v>370</v>
      </c>
      <c r="B6" s="3" t="s">
        <v>371</v>
      </c>
      <c r="C6" s="3" t="s">
        <v>372</v>
      </c>
      <c r="D6" s="3" t="s">
        <v>373</v>
      </c>
      <c r="E6" s="3" t="s">
        <v>374</v>
      </c>
      <c r="F6" s="3" t="s">
        <v>375</v>
      </c>
      <c r="G6" s="4" t="s">
        <v>376</v>
      </c>
      <c r="H6" s="1"/>
      <c r="I6" s="1"/>
      <c r="J6" s="1"/>
    </row>
    <row r="7" spans="1:10" ht="15">
      <c r="A7" s="5" t="s">
        <v>377</v>
      </c>
      <c r="B7" s="5" t="s">
        <v>378</v>
      </c>
      <c r="C7" s="5" t="s">
        <v>379</v>
      </c>
      <c r="D7" s="5" t="s">
        <v>380</v>
      </c>
      <c r="E7" s="5" t="s">
        <v>381</v>
      </c>
      <c r="F7" s="5" t="s">
        <v>382</v>
      </c>
      <c r="G7" s="5" t="s">
        <v>383</v>
      </c>
      <c r="H7" s="1"/>
      <c r="I7" s="1"/>
      <c r="J7" s="1"/>
    </row>
    <row r="8" spans="1:10" ht="15">
      <c r="A8" s="7" t="s">
        <v>384</v>
      </c>
      <c r="B8" s="7" t="s">
        <v>385</v>
      </c>
      <c r="C8" s="7" t="s">
        <v>386</v>
      </c>
      <c r="D8" s="7" t="s">
        <v>387</v>
      </c>
      <c r="E8" s="7" t="s">
        <v>388</v>
      </c>
      <c r="F8" s="7" t="s">
        <v>389</v>
      </c>
      <c r="G8" s="7" t="s">
        <v>383</v>
      </c>
      <c r="H8" s="1"/>
      <c r="I8" s="1"/>
      <c r="J8" s="1"/>
    </row>
    <row r="9" spans="1:10" ht="15">
      <c r="A9" s="7" t="s">
        <v>390</v>
      </c>
      <c r="B9" s="7" t="s">
        <v>378</v>
      </c>
      <c r="C9" s="7" t="s">
        <v>391</v>
      </c>
      <c r="D9" s="7" t="s">
        <v>392</v>
      </c>
      <c r="E9" s="7" t="s">
        <v>388</v>
      </c>
      <c r="F9" s="7" t="s">
        <v>393</v>
      </c>
      <c r="G9" s="7" t="s">
        <v>383</v>
      </c>
      <c r="H9" s="1"/>
      <c r="I9" s="1"/>
      <c r="J9" s="1"/>
    </row>
    <row r="10" spans="1:10" ht="15">
      <c r="A10" s="7" t="s">
        <v>394</v>
      </c>
      <c r="B10" s="7" t="s">
        <v>378</v>
      </c>
      <c r="C10" s="7" t="s">
        <v>395</v>
      </c>
      <c r="D10" s="7" t="s">
        <v>396</v>
      </c>
      <c r="E10" s="7" t="s">
        <v>397</v>
      </c>
      <c r="F10" s="7" t="s">
        <v>393</v>
      </c>
      <c r="G10" s="7" t="s">
        <v>383</v>
      </c>
      <c r="H10" s="1"/>
      <c r="I10" s="1"/>
      <c r="J10" s="1"/>
    </row>
    <row r="11" spans="1:10" ht="15">
      <c r="A11" s="7" t="s">
        <v>398</v>
      </c>
      <c r="B11" s="7" t="s">
        <v>378</v>
      </c>
      <c r="C11" s="7" t="s">
        <v>399</v>
      </c>
      <c r="D11" s="7" t="s">
        <v>400</v>
      </c>
      <c r="E11" s="7" t="s">
        <v>401</v>
      </c>
      <c r="F11" s="7" t="s">
        <v>393</v>
      </c>
      <c r="G11" s="7" t="s">
        <v>383</v>
      </c>
      <c r="H11" s="1"/>
      <c r="I11" s="1"/>
      <c r="J11" s="1"/>
    </row>
    <row r="12" spans="1:10" ht="15">
      <c r="A12" s="7" t="s">
        <v>402</v>
      </c>
      <c r="B12" s="7" t="s">
        <v>403</v>
      </c>
      <c r="C12" s="7" t="s">
        <v>404</v>
      </c>
      <c r="D12" s="7" t="s">
        <v>405</v>
      </c>
      <c r="E12" s="7" t="s">
        <v>406</v>
      </c>
      <c r="F12" s="7" t="s">
        <v>393</v>
      </c>
      <c r="G12" s="7" t="s">
        <v>383</v>
      </c>
      <c r="H12" s="1"/>
      <c r="I12" s="1"/>
      <c r="J12" s="1"/>
    </row>
    <row r="13" spans="1:10" ht="15">
      <c r="A13" s="7" t="s">
        <v>407</v>
      </c>
      <c r="B13" s="7" t="s">
        <v>408</v>
      </c>
      <c r="C13" s="7" t="s">
        <v>409</v>
      </c>
      <c r="D13" s="7" t="s">
        <v>410</v>
      </c>
      <c r="E13" s="7" t="s">
        <v>411</v>
      </c>
      <c r="F13" s="7" t="s">
        <v>412</v>
      </c>
      <c r="G13" s="7" t="s">
        <v>413</v>
      </c>
      <c r="H13" s="1"/>
      <c r="I13" s="1"/>
      <c r="J13" s="1"/>
    </row>
    <row r="14" spans="1:10" ht="15">
      <c r="A14" s="7" t="s">
        <v>414</v>
      </c>
      <c r="B14" s="7" t="s">
        <v>408</v>
      </c>
      <c r="C14" s="7" t="s">
        <v>415</v>
      </c>
      <c r="D14" s="7" t="s">
        <v>416</v>
      </c>
      <c r="E14" s="7" t="s">
        <v>411</v>
      </c>
      <c r="F14" s="7" t="s">
        <v>412</v>
      </c>
      <c r="G14" s="7" t="s">
        <v>413</v>
      </c>
      <c r="H14" s="1"/>
      <c r="I14" s="1"/>
      <c r="J14" s="1"/>
    </row>
    <row r="15" spans="1:10" ht="15">
      <c r="A15" s="7" t="s">
        <v>417</v>
      </c>
      <c r="B15" s="7" t="s">
        <v>408</v>
      </c>
      <c r="C15" s="7" t="s">
        <v>418</v>
      </c>
      <c r="D15" s="7" t="s">
        <v>419</v>
      </c>
      <c r="E15" s="7" t="s">
        <v>420</v>
      </c>
      <c r="F15" s="7" t="s">
        <v>421</v>
      </c>
      <c r="G15" s="7" t="s">
        <v>413</v>
      </c>
      <c r="H15" s="1"/>
      <c r="I15" s="1"/>
      <c r="J15" s="1"/>
    </row>
    <row r="16" spans="1:10" ht="15">
      <c r="A16" s="7" t="s">
        <v>422</v>
      </c>
      <c r="B16" s="7" t="s">
        <v>408</v>
      </c>
      <c r="C16" s="7" t="s">
        <v>423</v>
      </c>
      <c r="D16" s="7" t="s">
        <v>424</v>
      </c>
      <c r="E16" s="7" t="s">
        <v>425</v>
      </c>
      <c r="F16" s="7" t="s">
        <v>426</v>
      </c>
      <c r="G16" s="7" t="s">
        <v>413</v>
      </c>
      <c r="H16" s="1"/>
      <c r="I16" s="1"/>
      <c r="J16" s="1"/>
    </row>
    <row r="17" spans="1:10" ht="15">
      <c r="A17" s="10" t="s">
        <v>427</v>
      </c>
      <c r="B17" s="10" t="s">
        <v>428</v>
      </c>
      <c r="C17" s="10" t="s">
        <v>429</v>
      </c>
      <c r="D17" s="10" t="s">
        <v>430</v>
      </c>
      <c r="E17" s="10" t="s">
        <v>431</v>
      </c>
      <c r="F17" s="10" t="s">
        <v>432</v>
      </c>
      <c r="G17" s="10" t="s">
        <v>383</v>
      </c>
      <c r="H17" s="1"/>
      <c r="I17" s="1"/>
      <c r="J17" s="1"/>
    </row>
    <row r="18" spans="1:10" ht="15">
      <c r="A18" s="1"/>
      <c r="B18" s="1"/>
      <c r="C18" s="1"/>
      <c r="D18" s="1"/>
      <c r="E18" s="1"/>
      <c r="F18" s="1"/>
      <c r="G18" s="1"/>
      <c r="H18" s="1"/>
      <c r="I18" s="1"/>
      <c r="J18" s="1"/>
    </row>
    <row r="19" spans="1:10" ht="15">
      <c r="A19" s="1"/>
      <c r="B19" s="1"/>
      <c r="C19" s="1"/>
      <c r="D19" s="1"/>
      <c r="E19" s="1"/>
      <c r="F19" s="1"/>
      <c r="G19" s="1"/>
      <c r="H19" s="1"/>
      <c r="I19" s="1"/>
      <c r="J19" s="1"/>
    </row>
    <row r="20" spans="1:10">
      <c r="A20" s="57" t="s">
        <v>433</v>
      </c>
      <c r="B20" s="57"/>
      <c r="C20" s="57"/>
      <c r="D20" s="57"/>
      <c r="E20" s="57"/>
      <c r="F20" s="57"/>
      <c r="G20" s="57"/>
      <c r="H20" s="57"/>
      <c r="I20" s="57"/>
      <c r="J20" s="57"/>
    </row>
    <row r="21" spans="1:10">
      <c r="A21" s="97" t="s">
        <v>434</v>
      </c>
      <c r="B21" s="97"/>
      <c r="C21" s="97"/>
      <c r="D21" s="97"/>
      <c r="E21" s="97"/>
      <c r="F21" s="97"/>
      <c r="G21" s="97"/>
      <c r="H21" s="97"/>
      <c r="I21" s="97"/>
      <c r="J21" s="97"/>
    </row>
    <row r="22" spans="1:10">
      <c r="A22" s="97"/>
      <c r="B22" s="97"/>
      <c r="C22" s="97"/>
      <c r="D22" s="97"/>
      <c r="E22" s="97"/>
      <c r="F22" s="97"/>
      <c r="G22" s="97"/>
      <c r="H22" s="97"/>
      <c r="I22" s="97"/>
      <c r="J22" s="97"/>
    </row>
    <row r="23" spans="1:10">
      <c r="A23" s="97"/>
      <c r="B23" s="97"/>
      <c r="C23" s="97"/>
      <c r="D23" s="97"/>
      <c r="E23" s="97"/>
      <c r="F23" s="97"/>
      <c r="G23" s="97"/>
      <c r="H23" s="97"/>
      <c r="I23" s="97"/>
      <c r="J23" s="97"/>
    </row>
    <row r="24" spans="1:10">
      <c r="A24" s="97"/>
      <c r="B24" s="97"/>
      <c r="C24" s="97"/>
      <c r="D24" s="97"/>
      <c r="E24" s="97"/>
      <c r="F24" s="97"/>
      <c r="G24" s="97"/>
      <c r="H24" s="97"/>
      <c r="I24" s="97"/>
      <c r="J24" s="97"/>
    </row>
  </sheetData>
  <mergeCells count="5">
    <mergeCell ref="A1:J2"/>
    <mergeCell ref="A3:J3"/>
    <mergeCell ref="A5:J5"/>
    <mergeCell ref="A20:J20"/>
    <mergeCell ref="A21:J24"/>
  </mergeCells>
  <conditionalFormatting sqref="G7:G17">
    <cfRule type="containsText" dxfId="1" priority="1" operator="containsText" text="FORMULA"/>
    <cfRule type="containsText" dxfId="0" priority="2" operator="containsText" text="DOCUMENTED"/>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showGridLines="0" workbookViewId="0">
      <selection activeCell="E32" sqref="E32"/>
    </sheetView>
  </sheetViews>
  <sheetFormatPr baseColWidth="10" defaultColWidth="8.83203125" defaultRowHeight="14"/>
  <cols>
    <col min="1" max="1" width="22" customWidth="1"/>
    <col min="2" max="3" width="15" customWidth="1"/>
    <col min="4" max="4" width="25" customWidth="1"/>
    <col min="5" max="14" width="10" customWidth="1"/>
  </cols>
  <sheetData>
    <row r="1" spans="1:14" ht="29" customHeight="1">
      <c r="A1" s="54" t="s">
        <v>48</v>
      </c>
      <c r="B1" s="54"/>
      <c r="C1" s="54"/>
      <c r="D1" s="54"/>
      <c r="E1" s="54"/>
      <c r="F1" s="54"/>
      <c r="G1" s="54"/>
      <c r="H1" s="54"/>
      <c r="I1" s="54"/>
      <c r="J1" s="54"/>
      <c r="K1" s="54"/>
      <c r="L1" s="54"/>
      <c r="M1" s="54"/>
      <c r="N1" s="54"/>
    </row>
    <row r="2" spans="1:14" ht="29" customHeight="1">
      <c r="A2" s="54"/>
      <c r="B2" s="54"/>
      <c r="C2" s="54"/>
      <c r="D2" s="54"/>
      <c r="E2" s="54"/>
      <c r="F2" s="54"/>
      <c r="G2" s="54"/>
      <c r="H2" s="54"/>
      <c r="I2" s="54"/>
      <c r="J2" s="54"/>
      <c r="K2" s="54"/>
      <c r="L2" s="54"/>
      <c r="M2" s="54"/>
      <c r="N2" s="54"/>
    </row>
    <row r="3" spans="1:14" ht="22" customHeight="1">
      <c r="A3" s="55" t="s">
        <v>49</v>
      </c>
      <c r="B3" s="55"/>
      <c r="C3" s="55"/>
      <c r="D3" s="55"/>
      <c r="E3" s="55"/>
      <c r="F3" s="55"/>
      <c r="G3" s="55"/>
      <c r="H3" s="55"/>
      <c r="I3" s="55"/>
      <c r="J3" s="55"/>
      <c r="K3" s="55"/>
      <c r="L3" s="55"/>
      <c r="M3" s="55"/>
      <c r="N3" s="55"/>
    </row>
    <row r="4" spans="1:14" ht="15">
      <c r="A4" s="1"/>
      <c r="B4" s="1"/>
      <c r="C4" s="1"/>
      <c r="D4" s="1"/>
      <c r="E4" s="1"/>
      <c r="F4" s="1"/>
      <c r="G4" s="1"/>
      <c r="H4" s="1"/>
      <c r="I4" s="1"/>
      <c r="J4" s="1"/>
      <c r="K4" s="1"/>
      <c r="L4" s="1"/>
      <c r="M4" s="1"/>
      <c r="N4" s="1"/>
    </row>
    <row r="5" spans="1:14" ht="15">
      <c r="A5" s="59">
        <f>'06 Cost Stack'!B16</f>
        <v>74.729601538461537</v>
      </c>
      <c r="B5" s="60"/>
      <c r="C5" s="61"/>
      <c r="D5" s="70">
        <f>'06 Cost Stack'!B28</f>
        <v>50.348779999999998</v>
      </c>
      <c r="E5" s="71"/>
      <c r="F5" s="72"/>
      <c r="G5" s="79">
        <f>'07 Monthly Budget'!F20</f>
        <v>172.32551245986198</v>
      </c>
      <c r="H5" s="80"/>
      <c r="I5" s="81"/>
      <c r="J5" s="88" t="str">
        <f>'11 Checks'!B5</f>
        <v>PASS</v>
      </c>
      <c r="K5" s="89"/>
      <c r="L5" s="90"/>
      <c r="M5" s="1"/>
      <c r="N5" s="1"/>
    </row>
    <row r="6" spans="1:14" ht="15">
      <c r="A6" s="62"/>
      <c r="B6" s="63"/>
      <c r="C6" s="64"/>
      <c r="D6" s="73"/>
      <c r="E6" s="74"/>
      <c r="F6" s="75"/>
      <c r="G6" s="82"/>
      <c r="H6" s="83"/>
      <c r="I6" s="84"/>
      <c r="J6" s="91"/>
      <c r="K6" s="92"/>
      <c r="L6" s="93"/>
      <c r="M6" s="1"/>
      <c r="N6" s="1"/>
    </row>
    <row r="7" spans="1:14" ht="15">
      <c r="A7" s="65"/>
      <c r="B7" s="66"/>
      <c r="C7" s="67"/>
      <c r="D7" s="76"/>
      <c r="E7" s="77"/>
      <c r="F7" s="78"/>
      <c r="G7" s="85"/>
      <c r="H7" s="86"/>
      <c r="I7" s="87"/>
      <c r="J7" s="94"/>
      <c r="K7" s="95"/>
      <c r="L7" s="96"/>
      <c r="M7" s="1"/>
      <c r="N7" s="1"/>
    </row>
    <row r="8" spans="1:14" ht="15">
      <c r="A8" s="68" t="s">
        <v>50</v>
      </c>
      <c r="B8" s="69"/>
      <c r="C8" s="69"/>
      <c r="D8" s="68" t="s">
        <v>51</v>
      </c>
      <c r="E8" s="69"/>
      <c r="F8" s="69"/>
      <c r="G8" s="68" t="s">
        <v>52</v>
      </c>
      <c r="H8" s="69"/>
      <c r="I8" s="69"/>
      <c r="J8" s="68" t="s">
        <v>53</v>
      </c>
      <c r="K8" s="69"/>
      <c r="L8" s="69"/>
      <c r="M8" s="1"/>
      <c r="N8" s="1"/>
    </row>
    <row r="9" spans="1:14" ht="15">
      <c r="A9" s="1"/>
      <c r="B9" s="1"/>
      <c r="C9" s="1"/>
      <c r="D9" s="1"/>
      <c r="E9" s="1"/>
      <c r="F9" s="1"/>
      <c r="G9" s="1"/>
      <c r="H9" s="1"/>
      <c r="I9" s="1"/>
      <c r="J9" s="1"/>
      <c r="K9" s="1"/>
      <c r="L9" s="1"/>
      <c r="M9" s="1"/>
      <c r="N9" s="1"/>
    </row>
    <row r="10" spans="1:14">
      <c r="A10" s="57" t="s">
        <v>54</v>
      </c>
      <c r="B10" s="57"/>
      <c r="C10" s="57"/>
      <c r="D10" s="57"/>
      <c r="E10" s="57"/>
      <c r="F10" s="57"/>
      <c r="G10" s="57"/>
      <c r="H10" s="57"/>
      <c r="I10" s="57"/>
      <c r="J10" s="57"/>
      <c r="K10" s="57"/>
      <c r="L10" s="57"/>
      <c r="M10" s="57"/>
      <c r="N10" s="57"/>
    </row>
    <row r="11" spans="1:14" ht="15">
      <c r="A11" s="2" t="s">
        <v>55</v>
      </c>
      <c r="B11" s="3" t="s">
        <v>56</v>
      </c>
      <c r="C11" s="4" t="s">
        <v>57</v>
      </c>
      <c r="D11" s="1"/>
      <c r="E11" s="1"/>
      <c r="F11" s="1"/>
      <c r="G11" s="1"/>
      <c r="H11" s="1"/>
      <c r="I11" s="1"/>
      <c r="J11" s="1"/>
      <c r="K11" s="1"/>
      <c r="L11" s="1"/>
      <c r="M11" s="1"/>
      <c r="N11" s="1"/>
    </row>
    <row r="12" spans="1:14" ht="15">
      <c r="A12" s="5" t="str">
        <f>'07 Monthly Budget'!A7</f>
        <v>M1</v>
      </c>
      <c r="B12" s="16">
        <f>'07 Monthly Budget'!D7</f>
        <v>10.876258282445335</v>
      </c>
      <c r="C12" s="16">
        <f>'07 Monthly Budget'!E7</f>
        <v>6.3229399352396642</v>
      </c>
      <c r="D12" s="1"/>
      <c r="E12" s="1"/>
      <c r="F12" s="1"/>
      <c r="G12" s="1"/>
      <c r="H12" s="1"/>
      <c r="I12" s="1"/>
      <c r="J12" s="1"/>
      <c r="K12" s="1"/>
      <c r="L12" s="1"/>
      <c r="M12" s="1"/>
      <c r="N12" s="1"/>
    </row>
    <row r="13" spans="1:14" ht="15">
      <c r="A13" s="7" t="str">
        <f>'07 Monthly Budget'!A8</f>
        <v>M2</v>
      </c>
      <c r="B13" s="9">
        <f>'07 Monthly Budget'!D8</f>
        <v>11.048005273270885</v>
      </c>
      <c r="C13" s="9">
        <f>'07 Monthly Budget'!E8</f>
        <v>7.212462049264782</v>
      </c>
      <c r="D13" s="1"/>
      <c r="E13" s="1"/>
      <c r="F13" s="1"/>
      <c r="G13" s="1"/>
      <c r="H13" s="1"/>
      <c r="I13" s="1"/>
      <c r="J13" s="1"/>
      <c r="K13" s="1"/>
      <c r="L13" s="1"/>
      <c r="M13" s="1"/>
      <c r="N13" s="1"/>
    </row>
    <row r="14" spans="1:14" ht="15">
      <c r="A14" s="7" t="str">
        <f>'07 Monthly Budget'!A9</f>
        <v>M3</v>
      </c>
      <c r="B14" s="9">
        <f>'07 Monthly Budget'!D9</f>
        <v>12.359623594496899</v>
      </c>
      <c r="C14" s="9">
        <f>'07 Monthly Budget'!E9</f>
        <v>8.7887673362226604</v>
      </c>
      <c r="D14" s="1"/>
      <c r="E14" s="1"/>
      <c r="F14" s="1"/>
      <c r="G14" s="1"/>
      <c r="H14" s="1"/>
      <c r="I14" s="1"/>
      <c r="J14" s="1"/>
      <c r="K14" s="1"/>
      <c r="L14" s="1"/>
      <c r="M14" s="1"/>
      <c r="N14" s="1"/>
    </row>
    <row r="15" spans="1:14" ht="15">
      <c r="A15" s="7" t="str">
        <f>'07 Monthly Budget'!A10</f>
        <v>M4</v>
      </c>
      <c r="B15" s="9">
        <f>'07 Monthly Budget'!D10</f>
        <v>12.032090415498486</v>
      </c>
      <c r="C15" s="9">
        <f>'07 Monthly Budget'!E10</f>
        <v>7.9055184399331138</v>
      </c>
      <c r="D15" s="1"/>
      <c r="E15" s="1"/>
      <c r="F15" s="1"/>
      <c r="G15" s="1"/>
      <c r="H15" s="1"/>
      <c r="I15" s="1"/>
      <c r="J15" s="1"/>
      <c r="K15" s="1"/>
      <c r="L15" s="1"/>
      <c r="M15" s="1"/>
      <c r="N15" s="1"/>
    </row>
    <row r="16" spans="1:14" ht="15">
      <c r="A16" s="7" t="str">
        <f>'07 Monthly Budget'!A11</f>
        <v>M5</v>
      </c>
      <c r="B16" s="9">
        <f>'07 Monthly Budget'!D11</f>
        <v>11.33808967566992</v>
      </c>
      <c r="C16" s="9">
        <f>'07 Monthly Budget'!E11</f>
        <v>6.5547975290665317</v>
      </c>
      <c r="D16" s="1"/>
      <c r="E16" s="1"/>
      <c r="F16" s="1"/>
      <c r="G16" s="1"/>
      <c r="H16" s="1"/>
      <c r="I16" s="1"/>
      <c r="J16" s="1"/>
      <c r="K16" s="1"/>
      <c r="L16" s="1"/>
      <c r="M16" s="1"/>
      <c r="N16" s="1"/>
    </row>
    <row r="17" spans="1:14" ht="15">
      <c r="A17" s="7" t="str">
        <f>'07 Monthly Budget'!A12</f>
        <v>M6</v>
      </c>
      <c r="B17" s="9">
        <f>'07 Monthly Budget'!D12</f>
        <v>9.8329175040751249</v>
      </c>
      <c r="C17" s="9">
        <f>'07 Monthly Budget'!E12</f>
        <v>4.5640520478493496</v>
      </c>
      <c r="D17" s="1"/>
      <c r="E17" s="1"/>
      <c r="F17" s="1"/>
      <c r="G17" s="1"/>
      <c r="H17" s="1"/>
      <c r="I17" s="1"/>
      <c r="J17" s="1"/>
      <c r="K17" s="1"/>
      <c r="L17" s="1"/>
      <c r="M17" s="1"/>
      <c r="N17" s="1"/>
    </row>
    <row r="18" spans="1:14" ht="15">
      <c r="A18" s="7" t="str">
        <f>'07 Monthly Budget'!A13</f>
        <v>M7</v>
      </c>
      <c r="B18" s="9">
        <f>'07 Monthly Budget'!D13</f>
        <v>8.8933023532233211</v>
      </c>
      <c r="C18" s="9">
        <f>'07 Monthly Budget'!E13</f>
        <v>2.4151256866998136</v>
      </c>
      <c r="D18" s="1"/>
      <c r="E18" s="1"/>
      <c r="F18" s="1"/>
      <c r="G18" s="1"/>
      <c r="H18" s="1"/>
      <c r="I18" s="1"/>
      <c r="J18" s="1"/>
      <c r="K18" s="1"/>
      <c r="L18" s="1"/>
      <c r="M18" s="1"/>
      <c r="N18" s="1"/>
    </row>
    <row r="19" spans="1:14" ht="15">
      <c r="A19" s="7" t="str">
        <f>'07 Monthly Budget'!A14</f>
        <v>M8</v>
      </c>
      <c r="B19" s="9">
        <f>'07 Monthly Budget'!D14</f>
        <v>8.1781147543803403</v>
      </c>
      <c r="C19" s="9">
        <f>'07 Monthly Budget'!E14</f>
        <v>1.4499049957699859</v>
      </c>
      <c r="D19" s="1"/>
      <c r="E19" s="1"/>
      <c r="F19" s="1"/>
      <c r="G19" s="1"/>
      <c r="H19" s="1"/>
      <c r="I19" s="1"/>
      <c r="J19" s="1"/>
      <c r="K19" s="1"/>
      <c r="L19" s="1"/>
      <c r="M19" s="1"/>
      <c r="N19" s="1"/>
    </row>
    <row r="20" spans="1:14" ht="15">
      <c r="A20" s="7" t="str">
        <f>'07 Monthly Budget'!A15</f>
        <v>M9</v>
      </c>
      <c r="B20" s="9">
        <f>'07 Monthly Budget'!D15</f>
        <v>8.0359615878055148</v>
      </c>
      <c r="C20" s="9">
        <f>'07 Monthly Budget'!E15</f>
        <v>1.3569134135519338</v>
      </c>
      <c r="D20" s="1"/>
      <c r="E20" s="1"/>
      <c r="F20" s="1"/>
      <c r="G20" s="1"/>
      <c r="H20" s="1"/>
      <c r="I20" s="1"/>
      <c r="J20" s="1"/>
      <c r="K20" s="1"/>
      <c r="L20" s="1"/>
      <c r="M20" s="1"/>
      <c r="N20" s="1"/>
    </row>
    <row r="21" spans="1:14" ht="15">
      <c r="A21" s="7" t="str">
        <f>'07 Monthly Budget'!A16</f>
        <v>M10</v>
      </c>
      <c r="B21" s="9">
        <f>'07 Monthly Budget'!D16</f>
        <v>8.2034502549518518</v>
      </c>
      <c r="C21" s="9">
        <f>'07 Monthly Budget'!E16</f>
        <v>1.2888875407151881</v>
      </c>
      <c r="D21" s="1"/>
      <c r="E21" s="1"/>
      <c r="F21" s="1"/>
      <c r="G21" s="1"/>
      <c r="H21" s="1"/>
      <c r="I21" s="1"/>
      <c r="J21" s="1"/>
      <c r="K21" s="1"/>
      <c r="L21" s="1"/>
      <c r="M21" s="1"/>
      <c r="N21" s="1"/>
    </row>
    <row r="22" spans="1:14" ht="15">
      <c r="A22" s="7" t="str">
        <f>'07 Monthly Budget'!A17</f>
        <v>M11</v>
      </c>
      <c r="B22" s="9">
        <f>'07 Monthly Budget'!D17</f>
        <v>8.1905075953106454</v>
      </c>
      <c r="C22" s="9">
        <f>'07 Monthly Budget'!E17</f>
        <v>1.6561997002061422</v>
      </c>
      <c r="D22" s="1"/>
      <c r="E22" s="1"/>
      <c r="F22" s="1"/>
      <c r="G22" s="1"/>
      <c r="H22" s="1"/>
      <c r="I22" s="1"/>
      <c r="J22" s="1"/>
      <c r="K22" s="1"/>
      <c r="L22" s="1"/>
      <c r="M22" s="1"/>
      <c r="N22" s="1"/>
    </row>
    <row r="23" spans="1:14" ht="15">
      <c r="A23" s="10" t="str">
        <f>'07 Monthly Budget'!A18</f>
        <v>M12</v>
      </c>
      <c r="B23" s="17">
        <f>'07 Monthly Budget'!D18</f>
        <v>9.6788258704447863</v>
      </c>
      <c r="C23" s="17">
        <f>'07 Monthly Budget'!E18</f>
        <v>4.1427966237697325</v>
      </c>
      <c r="D23" s="1"/>
      <c r="E23" s="1"/>
      <c r="F23" s="1"/>
      <c r="G23" s="1"/>
      <c r="H23" s="1"/>
      <c r="I23" s="1"/>
      <c r="J23" s="1"/>
      <c r="K23" s="1"/>
      <c r="L23" s="1"/>
      <c r="M23" s="1"/>
      <c r="N23" s="1"/>
    </row>
    <row r="24" spans="1:14" ht="15">
      <c r="A24" s="1"/>
      <c r="B24" s="1"/>
      <c r="C24" s="1"/>
      <c r="D24" s="1"/>
      <c r="E24" s="1"/>
      <c r="F24" s="1"/>
      <c r="G24" s="1"/>
      <c r="H24" s="1"/>
      <c r="I24" s="1"/>
      <c r="J24" s="1"/>
      <c r="K24" s="1"/>
      <c r="L24" s="1"/>
      <c r="M24" s="1"/>
      <c r="N24" s="1"/>
    </row>
    <row r="25" spans="1:14" ht="15">
      <c r="A25" s="1"/>
      <c r="B25" s="1"/>
      <c r="C25" s="1"/>
      <c r="D25" s="1"/>
      <c r="E25" s="1"/>
      <c r="F25" s="1"/>
      <c r="G25" s="1"/>
      <c r="H25" s="1"/>
      <c r="I25" s="1"/>
      <c r="J25" s="1"/>
      <c r="K25" s="1"/>
      <c r="L25" s="1"/>
      <c r="M25" s="1"/>
      <c r="N25" s="1"/>
    </row>
    <row r="26" spans="1:14">
      <c r="A26" s="57" t="s">
        <v>58</v>
      </c>
      <c r="B26" s="57"/>
      <c r="C26" s="57"/>
      <c r="D26" s="57"/>
      <c r="E26" s="57"/>
      <c r="F26" s="57"/>
      <c r="G26" s="57"/>
      <c r="H26" s="57"/>
      <c r="I26" s="57"/>
      <c r="J26" s="57"/>
      <c r="K26" s="57"/>
      <c r="L26" s="57"/>
      <c r="M26" s="57"/>
      <c r="N26" s="57"/>
    </row>
    <row r="27" spans="1:14" ht="15">
      <c r="A27" s="2" t="s">
        <v>59</v>
      </c>
      <c r="B27" s="3" t="s">
        <v>60</v>
      </c>
      <c r="C27" s="3" t="s">
        <v>61</v>
      </c>
      <c r="D27" s="4" t="s">
        <v>5</v>
      </c>
      <c r="E27" s="1"/>
      <c r="F27" s="1"/>
      <c r="G27" s="1"/>
      <c r="H27" s="1"/>
      <c r="I27" s="1"/>
      <c r="J27" s="1"/>
      <c r="K27" s="1"/>
      <c r="L27" s="1"/>
      <c r="M27" s="1"/>
      <c r="N27" s="1"/>
    </row>
    <row r="28" spans="1:14" ht="15">
      <c r="A28" s="5" t="s">
        <v>62</v>
      </c>
      <c r="B28" s="18">
        <v>3.0600000000000002E-2</v>
      </c>
      <c r="C28" s="18">
        <v>4.6399999999999997E-2</v>
      </c>
      <c r="D28" s="5" t="s">
        <v>63</v>
      </c>
      <c r="E28" s="1"/>
      <c r="F28" s="1"/>
      <c r="G28" s="1"/>
      <c r="H28" s="1"/>
      <c r="I28" s="1"/>
      <c r="J28" s="1"/>
      <c r="K28" s="1"/>
      <c r="L28" s="1"/>
      <c r="M28" s="1"/>
      <c r="N28" s="1"/>
    </row>
    <row r="29" spans="1:14" ht="15">
      <c r="A29" s="7" t="s">
        <v>64</v>
      </c>
      <c r="B29" s="9">
        <v>11.5205</v>
      </c>
      <c r="C29" s="9">
        <v>9.0183999999999997</v>
      </c>
      <c r="D29" s="7" t="s">
        <v>65</v>
      </c>
      <c r="E29" s="1"/>
      <c r="F29" s="1"/>
      <c r="G29" s="1"/>
      <c r="H29" s="1"/>
      <c r="I29" s="1"/>
      <c r="J29" s="1"/>
      <c r="K29" s="1"/>
      <c r="L29" s="1"/>
      <c r="M29" s="1"/>
      <c r="N29" s="1"/>
    </row>
    <row r="30" spans="1:14" ht="15">
      <c r="A30" s="7" t="s">
        <v>66</v>
      </c>
      <c r="B30" s="9">
        <v>15.962400000000001</v>
      </c>
      <c r="C30" s="9">
        <v>12.2475</v>
      </c>
      <c r="D30" s="7" t="s">
        <v>67</v>
      </c>
      <c r="E30" s="1"/>
      <c r="F30" s="1"/>
      <c r="G30" s="1"/>
      <c r="H30" s="1"/>
      <c r="I30" s="1"/>
      <c r="J30" s="1"/>
      <c r="K30" s="1"/>
      <c r="L30" s="1"/>
      <c r="M30" s="1"/>
      <c r="N30" s="1"/>
    </row>
    <row r="31" spans="1:14" ht="15">
      <c r="A31" s="7" t="s">
        <v>68</v>
      </c>
      <c r="B31" s="9">
        <v>7.2039999999999997</v>
      </c>
      <c r="C31" s="9">
        <v>8.26</v>
      </c>
      <c r="D31" s="7" t="s">
        <v>69</v>
      </c>
      <c r="E31" s="1"/>
      <c r="F31" s="1"/>
      <c r="G31" s="1"/>
      <c r="H31" s="1"/>
      <c r="I31" s="1"/>
      <c r="J31" s="1"/>
      <c r="K31" s="1"/>
      <c r="L31" s="1"/>
      <c r="M31" s="1"/>
      <c r="N31" s="1"/>
    </row>
    <row r="32" spans="1:14" ht="15">
      <c r="A32" s="10" t="s">
        <v>70</v>
      </c>
      <c r="B32" s="10">
        <v>2</v>
      </c>
      <c r="C32" s="10">
        <v>3</v>
      </c>
      <c r="D32" s="10" t="s">
        <v>71</v>
      </c>
      <c r="E32" s="1"/>
      <c r="F32" s="1"/>
      <c r="G32" s="1"/>
      <c r="H32" s="1"/>
      <c r="I32" s="1"/>
      <c r="J32" s="1"/>
      <c r="K32" s="1"/>
      <c r="L32" s="1"/>
      <c r="M32" s="1"/>
      <c r="N32" s="1"/>
    </row>
  </sheetData>
  <mergeCells count="12">
    <mergeCell ref="A10:N10"/>
    <mergeCell ref="A26:N26"/>
    <mergeCell ref="A1:N2"/>
    <mergeCell ref="A3:N3"/>
    <mergeCell ref="A5:C7"/>
    <mergeCell ref="A8:C8"/>
    <mergeCell ref="D5:F7"/>
    <mergeCell ref="D8:F8"/>
    <mergeCell ref="G5:I7"/>
    <mergeCell ref="G8:I8"/>
    <mergeCell ref="J5:L7"/>
    <mergeCell ref="J8:L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showGridLines="0" workbookViewId="0">
      <selection activeCell="D17" sqref="D17"/>
    </sheetView>
  </sheetViews>
  <sheetFormatPr baseColWidth="10" defaultColWidth="8.83203125" defaultRowHeight="14"/>
  <cols>
    <col min="1" max="1" width="36" customWidth="1"/>
    <col min="2" max="2" width="15" customWidth="1"/>
    <col min="3" max="3" width="18" customWidth="1"/>
    <col min="4" max="4" width="38" customWidth="1"/>
    <col min="5" max="8" width="12" customWidth="1"/>
  </cols>
  <sheetData>
    <row r="1" spans="1:8" ht="29" customHeight="1">
      <c r="A1" s="54" t="s">
        <v>72</v>
      </c>
      <c r="B1" s="54"/>
      <c r="C1" s="54"/>
      <c r="D1" s="54"/>
      <c r="E1" s="54"/>
      <c r="F1" s="54"/>
      <c r="G1" s="54"/>
      <c r="H1" s="54"/>
    </row>
    <row r="2" spans="1:8" ht="29" customHeight="1">
      <c r="A2" s="54"/>
      <c r="B2" s="54"/>
      <c r="C2" s="54"/>
      <c r="D2" s="54"/>
      <c r="E2" s="54"/>
      <c r="F2" s="54"/>
      <c r="G2" s="54"/>
      <c r="H2" s="54"/>
    </row>
    <row r="3" spans="1:8" ht="22" customHeight="1">
      <c r="A3" s="55" t="s">
        <v>73</v>
      </c>
      <c r="B3" s="55"/>
      <c r="C3" s="55"/>
      <c r="D3" s="55"/>
      <c r="E3" s="55"/>
      <c r="F3" s="55"/>
      <c r="G3" s="55"/>
      <c r="H3" s="55"/>
    </row>
    <row r="4" spans="1:8" ht="15">
      <c r="A4" s="1"/>
      <c r="B4" s="1"/>
      <c r="C4" s="1"/>
      <c r="D4" s="1"/>
      <c r="E4" s="1"/>
      <c r="F4" s="1"/>
      <c r="G4" s="1"/>
      <c r="H4" s="1"/>
    </row>
    <row r="5" spans="1:8">
      <c r="A5" s="57" t="s">
        <v>74</v>
      </c>
      <c r="B5" s="57"/>
      <c r="C5" s="57"/>
      <c r="D5" s="57"/>
      <c r="E5" s="57"/>
      <c r="F5" s="57"/>
      <c r="G5" s="57"/>
      <c r="H5" s="57"/>
    </row>
    <row r="6" spans="1:8" ht="15">
      <c r="A6" s="5" t="s">
        <v>75</v>
      </c>
      <c r="B6" s="5" t="s">
        <v>76</v>
      </c>
      <c r="C6" s="1"/>
      <c r="D6" s="1"/>
      <c r="E6" s="1"/>
      <c r="F6" s="1"/>
      <c r="G6" s="1"/>
      <c r="H6" s="1"/>
    </row>
    <row r="7" spans="1:8" ht="15">
      <c r="A7" s="7" t="s">
        <v>77</v>
      </c>
      <c r="B7" s="7">
        <v>2026</v>
      </c>
      <c r="C7" s="1"/>
      <c r="D7" s="1"/>
      <c r="E7" s="1"/>
      <c r="F7" s="1"/>
      <c r="G7" s="1"/>
      <c r="H7" s="1"/>
    </row>
    <row r="8" spans="1:8" ht="15">
      <c r="A8" s="7" t="s">
        <v>78</v>
      </c>
      <c r="B8" s="7" t="s">
        <v>79</v>
      </c>
      <c r="C8" s="1"/>
      <c r="D8" s="1"/>
      <c r="E8" s="1"/>
      <c r="F8" s="1"/>
      <c r="G8" s="1"/>
      <c r="H8" s="1"/>
    </row>
    <row r="9" spans="1:8" ht="15">
      <c r="A9" s="7" t="s">
        <v>80</v>
      </c>
      <c r="B9" s="7" t="s">
        <v>81</v>
      </c>
      <c r="C9" s="1"/>
      <c r="D9" s="1"/>
      <c r="E9" s="1"/>
      <c r="F9" s="1"/>
      <c r="G9" s="1"/>
      <c r="H9" s="1"/>
    </row>
    <row r="10" spans="1:8" ht="15">
      <c r="A10" s="10" t="s">
        <v>82</v>
      </c>
      <c r="B10" s="19">
        <v>0.95</v>
      </c>
      <c r="C10" s="1"/>
      <c r="D10" s="1"/>
      <c r="E10" s="1"/>
      <c r="F10" s="1"/>
      <c r="G10" s="1"/>
      <c r="H10" s="1"/>
    </row>
    <row r="11" spans="1:8" ht="15">
      <c r="A11" s="1"/>
      <c r="B11" s="1"/>
      <c r="C11" s="1"/>
      <c r="D11" s="1"/>
      <c r="E11" s="1"/>
      <c r="F11" s="1"/>
      <c r="G11" s="1"/>
      <c r="H11" s="1"/>
    </row>
    <row r="12" spans="1:8">
      <c r="A12" s="57" t="s">
        <v>83</v>
      </c>
      <c r="B12" s="57"/>
      <c r="C12" s="57"/>
      <c r="D12" s="57"/>
      <c r="E12" s="57"/>
      <c r="F12" s="57"/>
      <c r="G12" s="57"/>
      <c r="H12" s="57"/>
    </row>
    <row r="13" spans="1:8" ht="15">
      <c r="A13" s="2" t="s">
        <v>84</v>
      </c>
      <c r="B13" s="3" t="s">
        <v>85</v>
      </c>
      <c r="C13" s="3" t="s">
        <v>86</v>
      </c>
      <c r="D13" s="4" t="s">
        <v>87</v>
      </c>
      <c r="E13" s="1"/>
      <c r="F13" s="1"/>
      <c r="G13" s="1"/>
      <c r="H13" s="1"/>
    </row>
    <row r="14" spans="1:8" ht="15">
      <c r="A14" s="5" t="s">
        <v>88</v>
      </c>
      <c r="B14" s="20">
        <v>0.55000000000000004</v>
      </c>
      <c r="C14" s="5" t="s">
        <v>89</v>
      </c>
      <c r="D14" s="5" t="s">
        <v>90</v>
      </c>
      <c r="E14" s="1"/>
      <c r="F14" s="1"/>
      <c r="G14" s="1"/>
      <c r="H14" s="1"/>
    </row>
    <row r="15" spans="1:8" ht="15">
      <c r="A15" s="7" t="s">
        <v>91</v>
      </c>
      <c r="B15" s="21">
        <v>1.8</v>
      </c>
      <c r="C15" s="7" t="s">
        <v>92</v>
      </c>
      <c r="D15" s="7" t="s">
        <v>93</v>
      </c>
      <c r="E15" s="1"/>
      <c r="F15" s="1"/>
      <c r="G15" s="1"/>
      <c r="H15" s="1"/>
    </row>
    <row r="16" spans="1:8" ht="15">
      <c r="A16" s="7" t="s">
        <v>94</v>
      </c>
      <c r="B16" s="21">
        <v>4401</v>
      </c>
      <c r="C16" s="7" t="s">
        <v>95</v>
      </c>
      <c r="D16" s="7" t="s">
        <v>96</v>
      </c>
      <c r="E16" s="1"/>
      <c r="F16" s="1"/>
      <c r="G16" s="1"/>
      <c r="H16" s="1"/>
    </row>
    <row r="17" spans="1:8" ht="15">
      <c r="A17" s="7" t="s">
        <v>97</v>
      </c>
      <c r="B17" s="21">
        <v>4.1000000000000003E-3</v>
      </c>
      <c r="C17" s="7" t="s">
        <v>98</v>
      </c>
      <c r="D17" s="7" t="s">
        <v>99</v>
      </c>
      <c r="E17" s="1"/>
      <c r="F17" s="1"/>
      <c r="G17" s="1"/>
      <c r="H17" s="1"/>
    </row>
    <row r="18" spans="1:8" ht="15">
      <c r="A18" s="7" t="s">
        <v>100</v>
      </c>
      <c r="B18" s="21">
        <v>95</v>
      </c>
      <c r="C18" s="7" t="s">
        <v>101</v>
      </c>
      <c r="D18" s="7" t="s">
        <v>93</v>
      </c>
      <c r="E18" s="1"/>
      <c r="F18" s="1"/>
      <c r="G18" s="1"/>
      <c r="H18" s="1"/>
    </row>
    <row r="19" spans="1:8" ht="15">
      <c r="A19" s="7" t="s">
        <v>102</v>
      </c>
      <c r="B19" s="22">
        <v>0.84</v>
      </c>
      <c r="C19" s="7" t="s">
        <v>89</v>
      </c>
      <c r="D19" s="7" t="s">
        <v>90</v>
      </c>
      <c r="E19" s="1"/>
      <c r="F19" s="1"/>
      <c r="G19" s="1"/>
      <c r="H19" s="1"/>
    </row>
    <row r="20" spans="1:8" ht="15">
      <c r="A20" s="7" t="s">
        <v>103</v>
      </c>
      <c r="B20" s="22">
        <v>0.08</v>
      </c>
      <c r="C20" s="7" t="s">
        <v>89</v>
      </c>
      <c r="D20" s="7" t="s">
        <v>90</v>
      </c>
      <c r="E20" s="1"/>
      <c r="F20" s="1"/>
      <c r="G20" s="1"/>
      <c r="H20" s="1"/>
    </row>
    <row r="21" spans="1:8" ht="15">
      <c r="A21" s="7" t="s">
        <v>104</v>
      </c>
      <c r="B21" s="21">
        <v>8.65</v>
      </c>
      <c r="C21" s="7" t="s">
        <v>105</v>
      </c>
      <c r="D21" s="7" t="s">
        <v>96</v>
      </c>
      <c r="E21" s="1"/>
      <c r="F21" s="1"/>
      <c r="G21" s="1"/>
      <c r="H21" s="1"/>
    </row>
    <row r="22" spans="1:8" ht="15">
      <c r="A22" s="7" t="s">
        <v>106</v>
      </c>
      <c r="B22" s="21">
        <v>4.2</v>
      </c>
      <c r="C22" s="7" t="s">
        <v>92</v>
      </c>
      <c r="D22" s="7" t="s">
        <v>93</v>
      </c>
      <c r="E22" s="1"/>
      <c r="F22" s="1"/>
      <c r="G22" s="1"/>
      <c r="H22" s="1"/>
    </row>
    <row r="23" spans="1:8" ht="15">
      <c r="A23" s="7" t="s">
        <v>107</v>
      </c>
      <c r="B23" s="21">
        <v>0.5</v>
      </c>
      <c r="C23" s="7" t="s">
        <v>92</v>
      </c>
      <c r="D23" s="7" t="s">
        <v>96</v>
      </c>
      <c r="E23" s="1"/>
      <c r="F23" s="1"/>
      <c r="G23" s="1"/>
      <c r="H23" s="1"/>
    </row>
    <row r="24" spans="1:8" ht="15">
      <c r="A24" s="7" t="s">
        <v>108</v>
      </c>
      <c r="B24" s="21">
        <v>0.35</v>
      </c>
      <c r="C24" s="7" t="s">
        <v>92</v>
      </c>
      <c r="D24" s="7" t="s">
        <v>93</v>
      </c>
      <c r="E24" s="1"/>
      <c r="F24" s="1"/>
      <c r="G24" s="1"/>
      <c r="H24" s="1"/>
    </row>
    <row r="25" spans="1:8" ht="15">
      <c r="A25" s="7" t="s">
        <v>109</v>
      </c>
      <c r="B25" s="21">
        <v>0.42</v>
      </c>
      <c r="C25" s="7" t="s">
        <v>92</v>
      </c>
      <c r="D25" s="7" t="s">
        <v>110</v>
      </c>
      <c r="E25" s="1"/>
      <c r="F25" s="1"/>
      <c r="G25" s="1"/>
      <c r="H25" s="1"/>
    </row>
    <row r="26" spans="1:8" ht="15">
      <c r="A26" s="7" t="s">
        <v>111</v>
      </c>
      <c r="B26" s="21">
        <v>0.22</v>
      </c>
      <c r="C26" s="7" t="s">
        <v>92</v>
      </c>
      <c r="D26" s="7" t="s">
        <v>93</v>
      </c>
      <c r="E26" s="1"/>
      <c r="F26" s="1"/>
      <c r="G26" s="1"/>
      <c r="H26" s="1"/>
    </row>
    <row r="27" spans="1:8" ht="15">
      <c r="A27" s="7" t="s">
        <v>112</v>
      </c>
      <c r="B27" s="21">
        <v>4.5</v>
      </c>
      <c r="C27" s="7" t="s">
        <v>92</v>
      </c>
      <c r="D27" s="7" t="s">
        <v>93</v>
      </c>
      <c r="E27" s="1"/>
      <c r="F27" s="1"/>
      <c r="G27" s="1"/>
      <c r="H27" s="1"/>
    </row>
    <row r="28" spans="1:8" ht="15">
      <c r="A28" s="10" t="s">
        <v>113</v>
      </c>
      <c r="B28" s="23">
        <v>260.76</v>
      </c>
      <c r="C28" s="10" t="s">
        <v>114</v>
      </c>
      <c r="D28" s="10" t="s">
        <v>115</v>
      </c>
      <c r="E28" s="1"/>
      <c r="F28" s="1"/>
      <c r="G28" s="1"/>
      <c r="H28" s="1"/>
    </row>
  </sheetData>
  <mergeCells count="4">
    <mergeCell ref="A1:H2"/>
    <mergeCell ref="A3:H3"/>
    <mergeCell ref="A5:H5"/>
    <mergeCell ref="A12:H12"/>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4"/>
  <sheetViews>
    <sheetView showGridLines="0" workbookViewId="0">
      <selection activeCell="K17" sqref="K17"/>
    </sheetView>
  </sheetViews>
  <sheetFormatPr baseColWidth="10" defaultColWidth="8.83203125" defaultRowHeight="14"/>
  <cols>
    <col min="1" max="1" width="22" customWidth="1"/>
    <col min="2" max="2" width="28" customWidth="1"/>
    <col min="3" max="5" width="16" customWidth="1"/>
    <col min="6" max="8" width="12" customWidth="1"/>
  </cols>
  <sheetData>
    <row r="1" spans="1:8" ht="29" customHeight="1">
      <c r="A1" s="54" t="s">
        <v>116</v>
      </c>
      <c r="B1" s="54"/>
      <c r="C1" s="54"/>
      <c r="D1" s="54"/>
      <c r="E1" s="54"/>
      <c r="F1" s="54"/>
      <c r="G1" s="54"/>
      <c r="H1" s="54"/>
    </row>
    <row r="2" spans="1:8" ht="29" customHeight="1">
      <c r="A2" s="54"/>
      <c r="B2" s="54"/>
      <c r="C2" s="54"/>
      <c r="D2" s="54"/>
      <c r="E2" s="54"/>
      <c r="F2" s="54"/>
      <c r="G2" s="54"/>
      <c r="H2" s="54"/>
    </row>
    <row r="3" spans="1:8" ht="22" customHeight="1">
      <c r="A3" s="55" t="s">
        <v>117</v>
      </c>
      <c r="B3" s="55"/>
      <c r="C3" s="55"/>
      <c r="D3" s="55"/>
      <c r="E3" s="55"/>
      <c r="F3" s="55"/>
      <c r="G3" s="55"/>
      <c r="H3" s="55"/>
    </row>
    <row r="4" spans="1:8" ht="15">
      <c r="A4" s="1"/>
      <c r="B4" s="1"/>
      <c r="C4" s="1"/>
      <c r="D4" s="1"/>
      <c r="E4" s="1"/>
      <c r="F4" s="1"/>
      <c r="G4" s="1"/>
      <c r="H4" s="1"/>
    </row>
    <row r="5" spans="1:8">
      <c r="A5" s="57" t="s">
        <v>118</v>
      </c>
      <c r="B5" s="57"/>
      <c r="C5" s="57"/>
      <c r="D5" s="57"/>
      <c r="E5" s="57"/>
      <c r="F5" s="57"/>
      <c r="G5" s="57"/>
      <c r="H5" s="57"/>
    </row>
    <row r="6" spans="1:8" ht="15">
      <c r="A6" s="2" t="s">
        <v>119</v>
      </c>
      <c r="B6" s="4" t="s">
        <v>85</v>
      </c>
      <c r="C6" s="1"/>
      <c r="D6" s="1"/>
      <c r="E6" s="1"/>
      <c r="F6" s="1"/>
      <c r="G6" s="1"/>
      <c r="H6" s="1"/>
    </row>
    <row r="7" spans="1:8" ht="15">
      <c r="A7" s="5" t="s">
        <v>120</v>
      </c>
      <c r="B7" s="6">
        <v>1599000</v>
      </c>
      <c r="C7" s="1"/>
      <c r="D7" s="1"/>
      <c r="E7" s="1"/>
      <c r="F7" s="1"/>
      <c r="G7" s="1"/>
      <c r="H7" s="1"/>
    </row>
    <row r="8" spans="1:8" ht="15">
      <c r="A8" s="10" t="s">
        <v>121</v>
      </c>
      <c r="B8" s="11">
        <v>1092000</v>
      </c>
      <c r="C8" s="1"/>
      <c r="D8" s="1"/>
      <c r="E8" s="1"/>
      <c r="F8" s="1"/>
      <c r="G8" s="1"/>
      <c r="H8" s="1"/>
    </row>
    <row r="9" spans="1:8" ht="15">
      <c r="A9" s="1"/>
      <c r="B9" s="1"/>
      <c r="C9" s="1"/>
      <c r="D9" s="1"/>
      <c r="E9" s="1"/>
      <c r="F9" s="1"/>
      <c r="G9" s="1"/>
      <c r="H9" s="1"/>
    </row>
    <row r="10" spans="1:8">
      <c r="A10" s="57" t="s">
        <v>122</v>
      </c>
      <c r="B10" s="57"/>
      <c r="C10" s="57"/>
      <c r="D10" s="57"/>
      <c r="E10" s="57"/>
      <c r="F10" s="57"/>
      <c r="G10" s="57"/>
      <c r="H10" s="57"/>
    </row>
    <row r="11" spans="1:8" ht="15">
      <c r="A11" s="2" t="s">
        <v>123</v>
      </c>
      <c r="B11" s="3" t="s">
        <v>124</v>
      </c>
      <c r="C11" s="3" t="s">
        <v>62</v>
      </c>
      <c r="D11" s="3" t="s">
        <v>125</v>
      </c>
      <c r="E11" s="4" t="s">
        <v>126</v>
      </c>
      <c r="F11" s="1"/>
      <c r="G11" s="1"/>
      <c r="H11" s="1"/>
    </row>
    <row r="12" spans="1:8" ht="15">
      <c r="A12" s="5" t="s">
        <v>60</v>
      </c>
      <c r="B12" s="5" t="s">
        <v>127</v>
      </c>
      <c r="C12" s="18">
        <v>4.8376999999999996E-2</v>
      </c>
      <c r="D12" s="16">
        <v>11.285399999999999</v>
      </c>
      <c r="E12" s="18">
        <v>-8.6900000000000009E-4</v>
      </c>
      <c r="F12" s="1"/>
      <c r="G12" s="1"/>
      <c r="H12" s="1"/>
    </row>
    <row r="13" spans="1:8" ht="15">
      <c r="A13" s="7" t="s">
        <v>60</v>
      </c>
      <c r="B13" s="7" t="s">
        <v>128</v>
      </c>
      <c r="C13" s="24">
        <v>3.7510000000000002E-2</v>
      </c>
      <c r="D13" s="9">
        <v>8.7083999999999993</v>
      </c>
      <c r="E13" s="24">
        <v>-2.4260000000000002E-3</v>
      </c>
      <c r="F13" s="1"/>
      <c r="G13" s="1"/>
      <c r="H13" s="1"/>
    </row>
    <row r="14" spans="1:8" ht="15">
      <c r="A14" s="7" t="s">
        <v>60</v>
      </c>
      <c r="B14" s="7" t="s">
        <v>129</v>
      </c>
      <c r="C14" s="24">
        <v>3.0596000000000002E-2</v>
      </c>
      <c r="D14" s="9">
        <v>7.0888</v>
      </c>
      <c r="E14" s="24">
        <v>-1.2858000000000001E-2</v>
      </c>
      <c r="F14" s="1"/>
      <c r="G14" s="1"/>
      <c r="H14" s="1"/>
    </row>
    <row r="15" spans="1:8" ht="15">
      <c r="A15" s="7" t="s">
        <v>61</v>
      </c>
      <c r="B15" s="7" t="s">
        <v>127</v>
      </c>
      <c r="C15" s="24">
        <v>0.186414</v>
      </c>
      <c r="D15" s="9">
        <v>30.6798</v>
      </c>
      <c r="E15" s="24">
        <v>-2.918E-3</v>
      </c>
      <c r="F15" s="1"/>
      <c r="G15" s="1"/>
      <c r="H15" s="1"/>
    </row>
    <row r="16" spans="1:8" ht="15">
      <c r="A16" s="7" t="s">
        <v>61</v>
      </c>
      <c r="B16" s="7" t="s">
        <v>128</v>
      </c>
      <c r="C16" s="24">
        <v>5.1879999999999996E-2</v>
      </c>
      <c r="D16" s="9">
        <v>7.9851999999999999</v>
      </c>
      <c r="E16" s="24">
        <v>1.0319E-2</v>
      </c>
      <c r="F16" s="1"/>
      <c r="G16" s="1"/>
      <c r="H16" s="1"/>
    </row>
    <row r="17" spans="1:8" ht="15">
      <c r="A17" s="10" t="s">
        <v>61</v>
      </c>
      <c r="B17" s="10" t="s">
        <v>129</v>
      </c>
      <c r="C17" s="25">
        <v>4.6391000000000002E-2</v>
      </c>
      <c r="D17" s="17">
        <v>7.1695000000000002</v>
      </c>
      <c r="E17" s="25">
        <v>1.0936999999999999E-2</v>
      </c>
      <c r="F17" s="1"/>
      <c r="G17" s="1"/>
      <c r="H17" s="1"/>
    </row>
    <row r="18" spans="1:8" ht="15">
      <c r="A18" s="1"/>
      <c r="B18" s="1"/>
      <c r="C18" s="1"/>
      <c r="D18" s="1"/>
      <c r="E18" s="1"/>
      <c r="F18" s="1"/>
      <c r="G18" s="1"/>
      <c r="H18" s="1"/>
    </row>
    <row r="19" spans="1:8" ht="15">
      <c r="A19" s="1"/>
      <c r="B19" s="1"/>
      <c r="C19" s="1"/>
      <c r="D19" s="1"/>
      <c r="E19" s="1"/>
      <c r="F19" s="1"/>
      <c r="G19" s="1"/>
      <c r="H19" s="1"/>
    </row>
    <row r="20" spans="1:8" ht="15">
      <c r="A20" s="1"/>
      <c r="B20" s="1"/>
      <c r="C20" s="1"/>
      <c r="D20" s="1"/>
      <c r="E20" s="1"/>
      <c r="F20" s="1"/>
      <c r="G20" s="1"/>
      <c r="H20" s="1"/>
    </row>
    <row r="21" spans="1:8">
      <c r="A21" s="97" t="s">
        <v>130</v>
      </c>
      <c r="B21" s="97"/>
      <c r="C21" s="97"/>
      <c r="D21" s="97"/>
      <c r="E21" s="97"/>
      <c r="F21" s="97"/>
      <c r="G21" s="97"/>
      <c r="H21" s="97"/>
    </row>
    <row r="22" spans="1:8">
      <c r="A22" s="97"/>
      <c r="B22" s="97"/>
      <c r="C22" s="97"/>
      <c r="D22" s="97"/>
      <c r="E22" s="97"/>
      <c r="F22" s="97"/>
      <c r="G22" s="97"/>
      <c r="H22" s="97"/>
    </row>
    <row r="23" spans="1:8">
      <c r="A23" s="97"/>
      <c r="B23" s="97"/>
      <c r="C23" s="97"/>
      <c r="D23" s="97"/>
      <c r="E23" s="97"/>
      <c r="F23" s="97"/>
      <c r="G23" s="97"/>
      <c r="H23" s="97"/>
    </row>
    <row r="24" spans="1:8">
      <c r="A24" s="97"/>
      <c r="B24" s="97"/>
      <c r="C24" s="97"/>
      <c r="D24" s="97"/>
      <c r="E24" s="97"/>
      <c r="F24" s="97"/>
      <c r="G24" s="97"/>
      <c r="H24" s="97"/>
    </row>
  </sheetData>
  <mergeCells count="5">
    <mergeCell ref="A1:H2"/>
    <mergeCell ref="A3:H3"/>
    <mergeCell ref="A5:H5"/>
    <mergeCell ref="A10:H10"/>
    <mergeCell ref="A21:H2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
  <sheetViews>
    <sheetView showGridLines="0" workbookViewId="0">
      <selection activeCell="D16" sqref="D16"/>
    </sheetView>
  </sheetViews>
  <sheetFormatPr baseColWidth="10" defaultColWidth="8.83203125" defaultRowHeight="14"/>
  <cols>
    <col min="1" max="1" width="18" customWidth="1"/>
    <col min="2" max="2" width="20" customWidth="1"/>
    <col min="3" max="3" width="12" customWidth="1"/>
    <col min="4" max="4" width="20" customWidth="1"/>
    <col min="5" max="6" width="12" customWidth="1"/>
    <col min="7" max="9" width="15" customWidth="1"/>
    <col min="10" max="10" width="14" customWidth="1"/>
  </cols>
  <sheetData>
    <row r="1" spans="1:10" ht="29" customHeight="1">
      <c r="A1" s="54" t="s">
        <v>131</v>
      </c>
      <c r="B1" s="54"/>
      <c r="C1" s="54"/>
      <c r="D1" s="54"/>
      <c r="E1" s="54"/>
      <c r="F1" s="54"/>
      <c r="G1" s="54"/>
      <c r="H1" s="54"/>
      <c r="I1" s="54"/>
      <c r="J1" s="54"/>
    </row>
    <row r="2" spans="1:10" ht="29" customHeight="1">
      <c r="A2" s="54"/>
      <c r="B2" s="54"/>
      <c r="C2" s="54"/>
      <c r="D2" s="54"/>
      <c r="E2" s="54"/>
      <c r="F2" s="54"/>
      <c r="G2" s="54"/>
      <c r="H2" s="54"/>
      <c r="I2" s="54"/>
      <c r="J2" s="54"/>
    </row>
    <row r="3" spans="1:10" ht="22" customHeight="1">
      <c r="A3" s="55" t="s">
        <v>132</v>
      </c>
      <c r="B3" s="55"/>
      <c r="C3" s="55"/>
      <c r="D3" s="55"/>
      <c r="E3" s="55"/>
      <c r="F3" s="55"/>
      <c r="G3" s="55"/>
      <c r="H3" s="55"/>
      <c r="I3" s="55"/>
      <c r="J3" s="55"/>
    </row>
    <row r="4" spans="1:10" ht="15">
      <c r="A4" s="1"/>
      <c r="B4" s="1"/>
      <c r="C4" s="1"/>
      <c r="D4" s="1"/>
      <c r="E4" s="1"/>
      <c r="F4" s="1"/>
      <c r="G4" s="1"/>
      <c r="H4" s="1"/>
      <c r="I4" s="1"/>
      <c r="J4" s="1"/>
    </row>
    <row r="5" spans="1:10">
      <c r="A5" s="57" t="s">
        <v>133</v>
      </c>
      <c r="B5" s="57"/>
      <c r="C5" s="57"/>
      <c r="D5" s="57"/>
      <c r="E5" s="57"/>
      <c r="F5" s="57"/>
      <c r="G5" s="57"/>
      <c r="H5" s="57"/>
      <c r="I5" s="57"/>
      <c r="J5" s="57"/>
    </row>
    <row r="6" spans="1:10">
      <c r="A6" s="2" t="s">
        <v>123</v>
      </c>
      <c r="B6" s="3" t="s">
        <v>134</v>
      </c>
      <c r="C6" s="3" t="s">
        <v>135</v>
      </c>
      <c r="D6" s="3" t="s">
        <v>136</v>
      </c>
      <c r="E6" s="3" t="s">
        <v>137</v>
      </c>
      <c r="F6" s="3" t="s">
        <v>138</v>
      </c>
      <c r="G6" s="3" t="s">
        <v>139</v>
      </c>
      <c r="H6" s="3" t="s">
        <v>140</v>
      </c>
      <c r="I6" s="3" t="s">
        <v>141</v>
      </c>
      <c r="J6" s="4" t="s">
        <v>142</v>
      </c>
    </row>
    <row r="7" spans="1:10">
      <c r="A7" s="5" t="s">
        <v>60</v>
      </c>
      <c r="B7" s="5" t="s">
        <v>143</v>
      </c>
      <c r="C7" s="26">
        <v>0.65</v>
      </c>
      <c r="D7" s="26" t="s">
        <v>144</v>
      </c>
      <c r="E7" s="26">
        <v>0.25</v>
      </c>
      <c r="F7" s="26">
        <v>0.1</v>
      </c>
      <c r="G7" s="16">
        <v>64.897900000000007</v>
      </c>
      <c r="H7" s="16">
        <v>68.443700000000007</v>
      </c>
      <c r="I7" s="16">
        <v>69.971500000000006</v>
      </c>
      <c r="J7" s="5" t="str">
        <f>IF(ABS(SUM(C7,E7,F7)-1)&lt;0.000001,"PASS","FAIL")</f>
        <v>PASS</v>
      </c>
    </row>
    <row r="8" spans="1:10">
      <c r="A8" s="10" t="s">
        <v>61</v>
      </c>
      <c r="B8" s="10" t="s">
        <v>145</v>
      </c>
      <c r="C8" s="19">
        <v>0.45</v>
      </c>
      <c r="D8" s="19" t="s">
        <v>146</v>
      </c>
      <c r="E8" s="19">
        <v>0.5</v>
      </c>
      <c r="F8" s="19">
        <v>0.05</v>
      </c>
      <c r="G8" s="17">
        <v>36.299599999999998</v>
      </c>
      <c r="H8" s="17">
        <v>38.615000000000002</v>
      </c>
      <c r="I8" s="17">
        <v>39.860399999999998</v>
      </c>
      <c r="J8" s="10" t="str">
        <f>IF(ABS(SUM(C8,E8,F8)-1)&lt;0.000001,"PASS","FAIL")</f>
        <v>PASS</v>
      </c>
    </row>
    <row r="9" spans="1:10" ht="15">
      <c r="A9" s="1"/>
      <c r="B9" s="1"/>
      <c r="C9" s="1"/>
      <c r="D9" s="1"/>
      <c r="E9" s="1"/>
      <c r="F9" s="1"/>
      <c r="G9" s="1"/>
      <c r="H9" s="1"/>
      <c r="I9" s="1"/>
      <c r="J9" s="1"/>
    </row>
    <row r="10" spans="1:10" ht="15">
      <c r="A10" s="1"/>
      <c r="B10" s="1"/>
      <c r="C10" s="1"/>
      <c r="D10" s="1"/>
      <c r="E10" s="1"/>
      <c r="F10" s="1"/>
      <c r="G10" s="1"/>
      <c r="H10" s="1"/>
      <c r="I10" s="1"/>
      <c r="J10" s="1"/>
    </row>
    <row r="11" spans="1:10">
      <c r="A11" s="57" t="s">
        <v>147</v>
      </c>
      <c r="B11" s="57"/>
      <c r="C11" s="57"/>
      <c r="D11" s="57"/>
      <c r="E11" s="57"/>
      <c r="F11" s="57"/>
      <c r="G11" s="57"/>
      <c r="H11" s="57"/>
      <c r="I11" s="57"/>
      <c r="J11" s="57"/>
    </row>
    <row r="12" spans="1:10" ht="15">
      <c r="A12" s="2" t="s">
        <v>148</v>
      </c>
      <c r="B12" s="3" t="s">
        <v>149</v>
      </c>
      <c r="C12" s="3" t="s">
        <v>150</v>
      </c>
      <c r="D12" s="4" t="s">
        <v>151</v>
      </c>
      <c r="E12" s="1"/>
      <c r="F12" s="1"/>
      <c r="G12" s="1"/>
      <c r="H12" s="1"/>
      <c r="I12" s="1"/>
      <c r="J12" s="1"/>
    </row>
    <row r="13" spans="1:10" ht="15">
      <c r="A13" s="5" t="s">
        <v>152</v>
      </c>
      <c r="B13" s="26">
        <v>0.7</v>
      </c>
      <c r="C13" s="26">
        <v>0.65</v>
      </c>
      <c r="D13" s="5" t="s">
        <v>153</v>
      </c>
      <c r="E13" s="1"/>
      <c r="F13" s="1"/>
      <c r="G13" s="1"/>
      <c r="H13" s="1"/>
      <c r="I13" s="1"/>
      <c r="J13" s="1"/>
    </row>
    <row r="14" spans="1:10" ht="15">
      <c r="A14" s="7" t="s">
        <v>154</v>
      </c>
      <c r="B14" s="27">
        <v>0.95</v>
      </c>
      <c r="C14" s="27">
        <v>0.95</v>
      </c>
      <c r="D14" s="7" t="s">
        <v>155</v>
      </c>
      <c r="E14" s="1"/>
      <c r="F14" s="1"/>
      <c r="G14" s="1"/>
      <c r="H14" s="1"/>
      <c r="I14" s="1"/>
      <c r="J14" s="1"/>
    </row>
    <row r="15" spans="1:10" ht="15">
      <c r="A15" s="7" t="s">
        <v>156</v>
      </c>
      <c r="B15" s="7" t="s">
        <v>141</v>
      </c>
      <c r="C15" s="7" t="s">
        <v>141</v>
      </c>
      <c r="D15" s="7" t="s">
        <v>157</v>
      </c>
      <c r="E15" s="1"/>
      <c r="F15" s="1"/>
      <c r="G15" s="1"/>
      <c r="H15" s="1"/>
      <c r="I15" s="1"/>
      <c r="J15" s="1"/>
    </row>
    <row r="16" spans="1:10" ht="15">
      <c r="A16" s="10" t="s">
        <v>158</v>
      </c>
      <c r="B16" s="10">
        <v>20000</v>
      </c>
      <c r="C16" s="10">
        <v>20000</v>
      </c>
      <c r="D16" s="10" t="s">
        <v>159</v>
      </c>
      <c r="E16" s="1"/>
      <c r="F16" s="1"/>
      <c r="G16" s="1"/>
      <c r="H16" s="1"/>
      <c r="I16" s="1"/>
      <c r="J16" s="1"/>
    </row>
  </sheetData>
  <mergeCells count="4">
    <mergeCell ref="A1:J2"/>
    <mergeCell ref="A3:J3"/>
    <mergeCell ref="A5:J5"/>
    <mergeCell ref="A11:J11"/>
  </mergeCells>
  <conditionalFormatting sqref="J7:J8">
    <cfRule type="containsText" dxfId="6" priority="1" operator="containsText" text="PASS"/>
  </conditionalFormatting>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8"/>
  <sheetViews>
    <sheetView showGridLines="0" workbookViewId="0">
      <selection activeCell="B21" sqref="B21"/>
    </sheetView>
  </sheetViews>
  <sheetFormatPr baseColWidth="10" defaultColWidth="8.83203125" defaultRowHeight="14"/>
  <cols>
    <col min="1" max="1" width="34" customWidth="1"/>
    <col min="2" max="2" width="15" customWidth="1"/>
    <col min="3" max="3" width="38" customWidth="1"/>
    <col min="4" max="4" width="23" customWidth="1"/>
    <col min="5" max="8" width="12" customWidth="1"/>
  </cols>
  <sheetData>
    <row r="1" spans="1:8" ht="29" customHeight="1">
      <c r="A1" s="54" t="s">
        <v>160</v>
      </c>
      <c r="B1" s="54"/>
      <c r="C1" s="54"/>
      <c r="D1" s="54"/>
      <c r="E1" s="54"/>
      <c r="F1" s="54"/>
      <c r="G1" s="54"/>
      <c r="H1" s="54"/>
    </row>
    <row r="2" spans="1:8" ht="29" customHeight="1">
      <c r="A2" s="54"/>
      <c r="B2" s="54"/>
      <c r="C2" s="54"/>
      <c r="D2" s="54"/>
      <c r="E2" s="54"/>
      <c r="F2" s="54"/>
      <c r="G2" s="54"/>
      <c r="H2" s="54"/>
    </row>
    <row r="3" spans="1:8" ht="22" customHeight="1">
      <c r="A3" s="55" t="s">
        <v>161</v>
      </c>
      <c r="B3" s="55"/>
      <c r="C3" s="55"/>
      <c r="D3" s="55"/>
      <c r="E3" s="55"/>
      <c r="F3" s="55"/>
      <c r="G3" s="55"/>
      <c r="H3" s="55"/>
    </row>
    <row r="4" spans="1:8" ht="15">
      <c r="A4" s="1"/>
      <c r="B4" s="1"/>
      <c r="C4" s="1"/>
      <c r="D4" s="1"/>
      <c r="E4" s="1"/>
      <c r="F4" s="1"/>
      <c r="G4" s="1"/>
      <c r="H4" s="1"/>
    </row>
    <row r="5" spans="1:8">
      <c r="A5" s="57" t="s">
        <v>162</v>
      </c>
      <c r="B5" s="57"/>
      <c r="C5" s="57"/>
      <c r="D5" s="57"/>
      <c r="E5" s="57"/>
      <c r="F5" s="57"/>
      <c r="G5" s="57"/>
      <c r="H5" s="57"/>
    </row>
    <row r="6" spans="1:8" ht="15">
      <c r="A6" s="2" t="s">
        <v>163</v>
      </c>
      <c r="B6" s="3" t="s">
        <v>92</v>
      </c>
      <c r="C6" s="3" t="s">
        <v>164</v>
      </c>
      <c r="D6" s="4" t="s">
        <v>165</v>
      </c>
      <c r="E6" s="1"/>
      <c r="F6" s="1"/>
      <c r="G6" s="1"/>
      <c r="H6" s="1"/>
    </row>
    <row r="7" spans="1:8" ht="15">
      <c r="A7" s="5" t="s">
        <v>166</v>
      </c>
      <c r="B7" s="33">
        <f>'05 Hedge Strategy'!G7</f>
        <v>64.897900000000007</v>
      </c>
      <c r="C7" s="5" t="s">
        <v>167</v>
      </c>
      <c r="D7" s="5" t="s">
        <v>124</v>
      </c>
      <c r="E7" s="1"/>
      <c r="F7" s="1"/>
      <c r="G7" s="1"/>
      <c r="H7" s="1"/>
    </row>
    <row r="8" spans="1:8" ht="15">
      <c r="A8" s="7" t="s">
        <v>168</v>
      </c>
      <c r="B8" s="34">
        <f>'03 Assumptions'!B28*'03 Assumptions'!B16/'04 Forecast'!B7</f>
        <v>0.7177015384615385</v>
      </c>
      <c r="C8" s="7" t="s">
        <v>169</v>
      </c>
      <c r="D8" s="7" t="s">
        <v>170</v>
      </c>
      <c r="E8" s="1"/>
      <c r="F8" s="1"/>
      <c r="G8" s="1"/>
      <c r="H8" s="1"/>
    </row>
    <row r="9" spans="1:8" ht="15">
      <c r="A9" s="7" t="s">
        <v>171</v>
      </c>
      <c r="B9" s="34">
        <f>'03 Assumptions'!B14*'03 Assumptions'!B15</f>
        <v>0.9900000000000001</v>
      </c>
      <c r="C9" s="7" t="s">
        <v>172</v>
      </c>
      <c r="D9" s="7" t="s">
        <v>173</v>
      </c>
      <c r="E9" s="1"/>
      <c r="F9" s="1"/>
      <c r="G9" s="1"/>
      <c r="H9" s="1"/>
    </row>
    <row r="10" spans="1:8" ht="15">
      <c r="A10" s="7" t="s">
        <v>174</v>
      </c>
      <c r="B10" s="34">
        <f>'03 Assumptions'!B23</f>
        <v>0.5</v>
      </c>
      <c r="C10" s="7" t="s">
        <v>96</v>
      </c>
      <c r="D10" s="7" t="s">
        <v>175</v>
      </c>
      <c r="E10" s="1"/>
      <c r="F10" s="1"/>
      <c r="G10" s="1"/>
      <c r="H10" s="1"/>
    </row>
    <row r="11" spans="1:8" ht="15">
      <c r="A11" s="7" t="s">
        <v>176</v>
      </c>
      <c r="B11" s="34">
        <f>'03 Assumptions'!B25</f>
        <v>0.42</v>
      </c>
      <c r="C11" s="7" t="s">
        <v>177</v>
      </c>
      <c r="D11" s="7" t="s">
        <v>178</v>
      </c>
      <c r="E11" s="1"/>
      <c r="F11" s="1"/>
      <c r="G11" s="1"/>
      <c r="H11" s="1"/>
    </row>
    <row r="12" spans="1:8" ht="15">
      <c r="A12" s="10" t="s">
        <v>179</v>
      </c>
      <c r="B12" s="35">
        <f>'08 Risk Backtest'!F7</f>
        <v>7.2039999999999997</v>
      </c>
      <c r="C12" s="10" t="s">
        <v>180</v>
      </c>
      <c r="D12" s="10" t="s">
        <v>124</v>
      </c>
      <c r="E12" s="1"/>
      <c r="F12" s="1"/>
      <c r="G12" s="1"/>
      <c r="H12" s="1"/>
    </row>
    <row r="13" spans="1:8" ht="15">
      <c r="A13" s="1"/>
      <c r="B13" s="1"/>
      <c r="C13" s="1"/>
      <c r="D13" s="1"/>
      <c r="E13" s="1"/>
      <c r="F13" s="1"/>
      <c r="G13" s="1"/>
      <c r="H13" s="1"/>
    </row>
    <row r="14" spans="1:8" ht="15">
      <c r="A14" s="36" t="s">
        <v>181</v>
      </c>
      <c r="B14" s="37">
        <f>SUM(B7:B12)</f>
        <v>74.729601538461537</v>
      </c>
      <c r="C14" s="36"/>
      <c r="D14" s="36"/>
      <c r="E14" s="1"/>
      <c r="F14" s="1"/>
      <c r="G14" s="1"/>
      <c r="H14" s="1"/>
    </row>
    <row r="15" spans="1:8" ht="15">
      <c r="A15" s="1"/>
      <c r="B15" s="1"/>
      <c r="C15" s="1"/>
      <c r="D15" s="1"/>
      <c r="E15" s="1"/>
      <c r="F15" s="1"/>
      <c r="G15" s="1"/>
      <c r="H15" s="1"/>
    </row>
    <row r="16" spans="1:8" ht="15">
      <c r="A16" s="38" t="s">
        <v>182</v>
      </c>
      <c r="B16" s="39">
        <f>B14</f>
        <v>74.729601538461537</v>
      </c>
      <c r="C16" s="1"/>
      <c r="D16" s="1"/>
      <c r="E16" s="1"/>
      <c r="F16" s="1"/>
      <c r="G16" s="1"/>
      <c r="H16" s="1"/>
    </row>
    <row r="17" spans="1:8">
      <c r="A17" s="57" t="s">
        <v>183</v>
      </c>
      <c r="B17" s="98"/>
      <c r="C17" s="57"/>
      <c r="D17" s="57"/>
      <c r="E17" s="57"/>
      <c r="F17" s="57"/>
      <c r="G17" s="57"/>
      <c r="H17" s="57"/>
    </row>
    <row r="18" spans="1:8" ht="15">
      <c r="A18" s="2" t="s">
        <v>163</v>
      </c>
      <c r="B18" s="40" t="s">
        <v>92</v>
      </c>
      <c r="C18" s="3" t="s">
        <v>164</v>
      </c>
      <c r="D18" s="4" t="s">
        <v>165</v>
      </c>
      <c r="E18" s="1"/>
      <c r="F18" s="1"/>
      <c r="G18" s="1"/>
      <c r="H18" s="1"/>
    </row>
    <row r="19" spans="1:8" ht="15">
      <c r="A19" s="5" t="s">
        <v>184</v>
      </c>
      <c r="B19" s="41">
        <f>'05 Hedge Strategy'!G8</f>
        <v>36.299599999999998</v>
      </c>
      <c r="C19" s="5" t="s">
        <v>167</v>
      </c>
      <c r="D19" s="5" t="s">
        <v>124</v>
      </c>
      <c r="E19" s="1"/>
      <c r="F19" s="1"/>
      <c r="G19" s="1"/>
      <c r="H19" s="1"/>
    </row>
    <row r="20" spans="1:8" ht="15">
      <c r="A20" s="7" t="s">
        <v>185</v>
      </c>
      <c r="B20" s="42">
        <f>'03 Assumptions'!B22</f>
        <v>4.2</v>
      </c>
      <c r="C20" s="7" t="s">
        <v>93</v>
      </c>
      <c r="D20" s="7" t="s">
        <v>173</v>
      </c>
      <c r="E20" s="1"/>
      <c r="F20" s="1"/>
      <c r="G20" s="1"/>
      <c r="H20" s="1"/>
    </row>
    <row r="21" spans="1:8" ht="15">
      <c r="A21" s="7" t="s">
        <v>186</v>
      </c>
      <c r="B21" s="42">
        <f>'03 Assumptions'!B17*'03 Assumptions'!B18*'03 Assumptions'!B19</f>
        <v>0.32718000000000003</v>
      </c>
      <c r="C21" s="7" t="s">
        <v>187</v>
      </c>
      <c r="D21" s="7" t="s">
        <v>188</v>
      </c>
      <c r="E21" s="1"/>
      <c r="F21" s="1"/>
      <c r="G21" s="1"/>
      <c r="H21" s="1"/>
    </row>
    <row r="22" spans="1:8" ht="15">
      <c r="A22" s="7" t="s">
        <v>189</v>
      </c>
      <c r="B22" s="42">
        <f>'03 Assumptions'!B20*'03 Assumptions'!B21</f>
        <v>0.69200000000000006</v>
      </c>
      <c r="C22" s="7" t="s">
        <v>172</v>
      </c>
      <c r="D22" s="7" t="s">
        <v>190</v>
      </c>
      <c r="E22" s="1"/>
      <c r="F22" s="1"/>
      <c r="G22" s="1"/>
      <c r="H22" s="1"/>
    </row>
    <row r="23" spans="1:8" ht="15">
      <c r="A23" s="7" t="s">
        <v>174</v>
      </c>
      <c r="B23" s="42">
        <f>'03 Assumptions'!B24</f>
        <v>0.35</v>
      </c>
      <c r="C23" s="7" t="s">
        <v>191</v>
      </c>
      <c r="D23" s="7" t="s">
        <v>173</v>
      </c>
      <c r="E23" s="1"/>
      <c r="F23" s="1"/>
      <c r="G23" s="1"/>
      <c r="H23" s="1"/>
    </row>
    <row r="24" spans="1:8" ht="15">
      <c r="A24" s="7" t="s">
        <v>176</v>
      </c>
      <c r="B24" s="42">
        <f>'03 Assumptions'!B26</f>
        <v>0.22</v>
      </c>
      <c r="C24" s="7" t="s">
        <v>177</v>
      </c>
      <c r="D24" s="7" t="s">
        <v>173</v>
      </c>
      <c r="E24" s="1"/>
      <c r="F24" s="1"/>
      <c r="G24" s="1"/>
      <c r="H24" s="1"/>
    </row>
    <row r="25" spans="1:8" ht="15">
      <c r="A25" s="10" t="s">
        <v>179</v>
      </c>
      <c r="B25" s="43">
        <f>'08 Risk Backtest'!F8</f>
        <v>8.26</v>
      </c>
      <c r="C25" s="10" t="s">
        <v>180</v>
      </c>
      <c r="D25" s="10" t="s">
        <v>124</v>
      </c>
      <c r="E25" s="1"/>
      <c r="F25" s="1"/>
      <c r="G25" s="1"/>
      <c r="H25" s="1"/>
    </row>
    <row r="26" spans="1:8" ht="15">
      <c r="A26" s="1"/>
      <c r="B26" s="44"/>
      <c r="C26" s="1"/>
      <c r="D26" s="1"/>
      <c r="E26" s="1"/>
      <c r="F26" s="1"/>
      <c r="G26" s="1"/>
      <c r="H26" s="1"/>
    </row>
    <row r="27" spans="1:8" ht="15">
      <c r="A27" s="45" t="s">
        <v>192</v>
      </c>
      <c r="B27" s="46">
        <f>SUM(B19:B25)</f>
        <v>50.348779999999998</v>
      </c>
      <c r="C27" s="45"/>
      <c r="D27" s="45"/>
      <c r="E27" s="1"/>
      <c r="F27" s="1"/>
      <c r="G27" s="1"/>
      <c r="H27" s="1"/>
    </row>
    <row r="28" spans="1:8" ht="15">
      <c r="A28" s="38" t="s">
        <v>193</v>
      </c>
      <c r="B28" s="39">
        <f>B27</f>
        <v>50.348779999999998</v>
      </c>
      <c r="C28" s="1"/>
      <c r="D28" s="1"/>
      <c r="E28" s="1"/>
      <c r="F28" s="1"/>
      <c r="G28" s="1"/>
      <c r="H28" s="1"/>
    </row>
  </sheetData>
  <mergeCells count="4">
    <mergeCell ref="A1:H2"/>
    <mergeCell ref="A3:H3"/>
    <mergeCell ref="A5:H5"/>
    <mergeCell ref="A17:H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showGridLines="0" workbookViewId="0">
      <selection activeCell="B7" sqref="B7"/>
    </sheetView>
  </sheetViews>
  <sheetFormatPr baseColWidth="10" defaultColWidth="8.83203125" defaultRowHeight="14"/>
  <cols>
    <col min="1" max="1" width="12" customWidth="1"/>
    <col min="2" max="3" width="20" customWidth="1"/>
    <col min="4" max="6" width="18" customWidth="1"/>
    <col min="7" max="8" width="12" customWidth="1"/>
  </cols>
  <sheetData>
    <row r="1" spans="1:8" ht="29" customHeight="1">
      <c r="A1" s="54" t="s">
        <v>194</v>
      </c>
      <c r="B1" s="54"/>
      <c r="C1" s="54"/>
      <c r="D1" s="54"/>
      <c r="E1" s="54"/>
      <c r="F1" s="54"/>
      <c r="G1" s="54"/>
      <c r="H1" s="54"/>
    </row>
    <row r="2" spans="1:8" ht="29" customHeight="1">
      <c r="A2" s="54"/>
      <c r="B2" s="54"/>
      <c r="C2" s="54"/>
      <c r="D2" s="54"/>
      <c r="E2" s="54"/>
      <c r="F2" s="54"/>
      <c r="G2" s="54"/>
      <c r="H2" s="54"/>
    </row>
    <row r="3" spans="1:8" ht="22" customHeight="1">
      <c r="A3" s="55" t="s">
        <v>195</v>
      </c>
      <c r="B3" s="55"/>
      <c r="C3" s="55"/>
      <c r="D3" s="55"/>
      <c r="E3" s="55"/>
      <c r="F3" s="55"/>
      <c r="G3" s="55"/>
      <c r="H3" s="55"/>
    </row>
    <row r="4" spans="1:8" ht="15">
      <c r="A4" s="1"/>
      <c r="B4" s="1"/>
      <c r="C4" s="1"/>
      <c r="D4" s="1"/>
      <c r="E4" s="1"/>
      <c r="F4" s="1"/>
      <c r="G4" s="1"/>
      <c r="H4" s="1"/>
    </row>
    <row r="5" spans="1:8">
      <c r="A5" s="57" t="s">
        <v>196</v>
      </c>
      <c r="B5" s="57"/>
      <c r="C5" s="57"/>
      <c r="D5" s="57"/>
      <c r="E5" s="57"/>
      <c r="F5" s="57"/>
      <c r="G5" s="57"/>
      <c r="H5" s="57"/>
    </row>
    <row r="6" spans="1:8" ht="15">
      <c r="A6" s="2" t="s">
        <v>197</v>
      </c>
      <c r="B6" s="3" t="s">
        <v>198</v>
      </c>
      <c r="C6" s="3" t="s">
        <v>199</v>
      </c>
      <c r="D6" s="3" t="s">
        <v>200</v>
      </c>
      <c r="E6" s="3" t="s">
        <v>201</v>
      </c>
      <c r="F6" s="4" t="s">
        <v>202</v>
      </c>
      <c r="G6" s="1"/>
      <c r="H6" s="1"/>
    </row>
    <row r="7" spans="1:8" ht="15">
      <c r="A7" s="5" t="s">
        <v>203</v>
      </c>
      <c r="B7" s="6">
        <v>141931.0049</v>
      </c>
      <c r="C7" s="6">
        <v>122729.8248</v>
      </c>
      <c r="D7" s="16">
        <f>B7*(66.7989+SUM('06 Cost Stack'!B8:B12))/1000000</f>
        <v>10.876258282445335</v>
      </c>
      <c r="E7" s="16">
        <f>C7*(37.47+SUM('06 Cost Stack'!B20:B25))/1000000</f>
        <v>6.3229399352396642</v>
      </c>
      <c r="F7" s="16">
        <f t="shared" ref="F7:F18" si="0">SUM(D7:E7)</f>
        <v>17.199198217684998</v>
      </c>
      <c r="G7" s="1"/>
      <c r="H7" s="1"/>
    </row>
    <row r="8" spans="1:8" ht="15">
      <c r="A8" s="7" t="s">
        <v>204</v>
      </c>
      <c r="B8" s="32">
        <v>136539.24900000001</v>
      </c>
      <c r="C8" s="32">
        <v>148559.9149</v>
      </c>
      <c r="D8" s="9">
        <f>B8*(71.0828+SUM('06 Cost Stack'!B8:B12))/1000000</f>
        <v>11.048005273270885</v>
      </c>
      <c r="E8" s="9">
        <f>C8*(34.5+SUM('06 Cost Stack'!B20:B25))/1000000</f>
        <v>7.212462049264782</v>
      </c>
      <c r="F8" s="9">
        <f t="shared" si="0"/>
        <v>18.260467322535668</v>
      </c>
      <c r="G8" s="1"/>
      <c r="H8" s="1"/>
    </row>
    <row r="9" spans="1:8" ht="15">
      <c r="A9" s="7" t="s">
        <v>205</v>
      </c>
      <c r="B9" s="32">
        <v>152536.34400000001</v>
      </c>
      <c r="C9" s="32">
        <v>171490.88699999999</v>
      </c>
      <c r="D9" s="9">
        <f>B9*(71.1957+SUM('06 Cost Stack'!B8:B12))/1000000</f>
        <v>12.359623594496899</v>
      </c>
      <c r="E9" s="9">
        <f>C9*(37.2+SUM('06 Cost Stack'!B20:B25))/1000000</f>
        <v>8.7887673362226604</v>
      </c>
      <c r="F9" s="9">
        <f t="shared" si="0"/>
        <v>21.148390930719557</v>
      </c>
      <c r="G9" s="1"/>
      <c r="H9" s="1"/>
    </row>
    <row r="10" spans="1:8" ht="15">
      <c r="A10" s="7" t="s">
        <v>206</v>
      </c>
      <c r="B10" s="32">
        <v>148830.77660000001</v>
      </c>
      <c r="C10" s="32">
        <v>165390.25229999999</v>
      </c>
      <c r="D10" s="9">
        <f>B10*(71.0124+SUM('06 Cost Stack'!B8:B12))/1000000</f>
        <v>12.032090415498486</v>
      </c>
      <c r="E10" s="9">
        <f>C10*(33.75+SUM('06 Cost Stack'!B20:B25))/1000000</f>
        <v>7.9055184399331138</v>
      </c>
      <c r="F10" s="9">
        <f t="shared" si="0"/>
        <v>19.937608855431598</v>
      </c>
      <c r="G10" s="1"/>
      <c r="H10" s="1"/>
    </row>
    <row r="11" spans="1:8" ht="15">
      <c r="A11" s="7" t="s">
        <v>207</v>
      </c>
      <c r="B11" s="32">
        <v>145191.47570000001</v>
      </c>
      <c r="C11" s="32">
        <v>142219.8774</v>
      </c>
      <c r="D11" s="9">
        <f>B11*(68.2589+SUM('06 Cost Stack'!B8:B12))/1000000</f>
        <v>11.33808967566992</v>
      </c>
      <c r="E11" s="9">
        <f>C11*(32.04+SUM('06 Cost Stack'!B20:B25))/1000000</f>
        <v>6.5547975290665317</v>
      </c>
      <c r="F11" s="9">
        <f t="shared" si="0"/>
        <v>17.892887204736454</v>
      </c>
      <c r="G11" s="1"/>
      <c r="H11" s="1"/>
    </row>
    <row r="12" spans="1:8" ht="15">
      <c r="A12" s="7" t="s">
        <v>208</v>
      </c>
      <c r="B12" s="32">
        <v>133459.07019999999</v>
      </c>
      <c r="C12" s="32">
        <v>95784.482499999998</v>
      </c>
      <c r="D12" s="9">
        <f>B12*(63.8457+SUM('06 Cost Stack'!B8:B12))/1000000</f>
        <v>9.8329175040751249</v>
      </c>
      <c r="E12" s="9">
        <f>C12*(33.6+SUM('06 Cost Stack'!B20:B25))/1000000</f>
        <v>4.5640520478493496</v>
      </c>
      <c r="F12" s="9">
        <f t="shared" si="0"/>
        <v>14.396969551924474</v>
      </c>
      <c r="G12" s="1"/>
      <c r="H12" s="1"/>
    </row>
    <row r="13" spans="1:8" ht="15">
      <c r="A13" s="7" t="s">
        <v>209</v>
      </c>
      <c r="B13" s="32">
        <v>127198.9038</v>
      </c>
      <c r="C13" s="32">
        <v>51157.967299999997</v>
      </c>
      <c r="D13" s="9">
        <f>B13*(60.0848+SUM('06 Cost Stack'!B8:B12))/1000000</f>
        <v>8.8933023532233211</v>
      </c>
      <c r="E13" s="9">
        <f>C13*(33.16+SUM('06 Cost Stack'!B20:B25))/1000000</f>
        <v>2.4151256866998136</v>
      </c>
      <c r="F13" s="9">
        <f t="shared" si="0"/>
        <v>11.308428039923134</v>
      </c>
      <c r="G13" s="1"/>
      <c r="H13" s="1"/>
    </row>
    <row r="14" spans="1:8" ht="15">
      <c r="A14" s="7" t="s">
        <v>210</v>
      </c>
      <c r="B14" s="32">
        <v>121554.511</v>
      </c>
      <c r="C14" s="32">
        <v>28324.4427</v>
      </c>
      <c r="D14" s="9">
        <f>B14*(57.4477+SUM('06 Cost Stack'!B8:B12))/1000000</f>
        <v>8.1781147543803403</v>
      </c>
      <c r="E14" s="9">
        <f>C14*(37.14+SUM('06 Cost Stack'!B20:B25))/1000000</f>
        <v>1.4499049957699859</v>
      </c>
      <c r="F14" s="9">
        <f t="shared" si="0"/>
        <v>9.628019750150326</v>
      </c>
      <c r="G14" s="1"/>
      <c r="H14" s="1"/>
    </row>
    <row r="15" spans="1:8" ht="15">
      <c r="A15" s="7" t="s">
        <v>211</v>
      </c>
      <c r="B15" s="32">
        <v>119076.3302</v>
      </c>
      <c r="C15" s="32">
        <v>27111.601299999998</v>
      </c>
      <c r="D15" s="9">
        <f>B15*(57.6541+SUM('06 Cost Stack'!B8:B12))/1000000</f>
        <v>8.0359615878055148</v>
      </c>
      <c r="E15" s="9">
        <f>C15*(36+SUM('06 Cost Stack'!B20:B25))/1000000</f>
        <v>1.3569134135519338</v>
      </c>
      <c r="F15" s="9">
        <f t="shared" si="0"/>
        <v>9.3928750013574493</v>
      </c>
      <c r="G15" s="1"/>
      <c r="H15" s="1"/>
    </row>
    <row r="16" spans="1:8" ht="15">
      <c r="A16" s="7" t="s">
        <v>212</v>
      </c>
      <c r="B16" s="32">
        <v>121823.16439999999</v>
      </c>
      <c r="C16" s="32">
        <v>27910.5766</v>
      </c>
      <c r="D16" s="9">
        <f>B16*(57.5073+SUM('06 Cost Stack'!B8:B12))/1000000</f>
        <v>8.2034502549518518</v>
      </c>
      <c r="E16" s="9">
        <f>C16*(32.13+SUM('06 Cost Stack'!B20:B25))/1000000</f>
        <v>1.2888875407151881</v>
      </c>
      <c r="F16" s="9">
        <f t="shared" si="0"/>
        <v>9.4923377956670407</v>
      </c>
      <c r="G16" s="1"/>
      <c r="H16" s="1"/>
    </row>
    <row r="17" spans="1:8" ht="15">
      <c r="A17" s="7" t="s">
        <v>213</v>
      </c>
      <c r="B17" s="32">
        <v>118672.22</v>
      </c>
      <c r="C17" s="32">
        <v>34184.266900000002</v>
      </c>
      <c r="D17" s="9">
        <f>B17*(59.1862+SUM('06 Cost Stack'!B8:B12))/1000000</f>
        <v>8.1905075953106454</v>
      </c>
      <c r="E17" s="9">
        <f>C17*(34.4+SUM('06 Cost Stack'!B20:B25))/1000000</f>
        <v>1.6561997002061422</v>
      </c>
      <c r="F17" s="9">
        <f t="shared" si="0"/>
        <v>9.8467072955167882</v>
      </c>
      <c r="G17" s="1"/>
      <c r="H17" s="1"/>
    </row>
    <row r="18" spans="1:8" ht="15">
      <c r="A18" s="10" t="s">
        <v>214</v>
      </c>
      <c r="B18" s="11">
        <v>132357.11309999999</v>
      </c>
      <c r="C18" s="11">
        <v>76947.617400000003</v>
      </c>
      <c r="D18" s="17">
        <f>B18*(63.2949+SUM('06 Cost Stack'!B8:B12))/1000000</f>
        <v>9.6788258704447863</v>
      </c>
      <c r="E18" s="17">
        <f>C18*(39.79+SUM('06 Cost Stack'!B20:B25))/1000000</f>
        <v>4.1427966237697325</v>
      </c>
      <c r="F18" s="17">
        <f t="shared" si="0"/>
        <v>13.82162249421452</v>
      </c>
      <c r="G18" s="1"/>
      <c r="H18" s="1"/>
    </row>
    <row r="19" spans="1:8" ht="15">
      <c r="A19" s="1"/>
      <c r="B19" s="1"/>
      <c r="C19" s="1"/>
      <c r="D19" s="1"/>
      <c r="E19" s="1"/>
      <c r="F19" s="1"/>
      <c r="G19" s="1"/>
      <c r="H19" s="1"/>
    </row>
    <row r="20" spans="1:8" ht="15">
      <c r="A20" s="47" t="s">
        <v>215</v>
      </c>
      <c r="B20" s="48">
        <f>SUM(B7:B18)</f>
        <v>1599170.1628999996</v>
      </c>
      <c r="C20" s="48">
        <f>SUM(C7:C18)</f>
        <v>1091811.7111000002</v>
      </c>
      <c r="D20" s="49">
        <f>SUM(D7:D18)</f>
        <v>118.66714716157311</v>
      </c>
      <c r="E20" s="49">
        <f>SUM(E7:E18)</f>
        <v>53.658365298288906</v>
      </c>
      <c r="F20" s="49">
        <f>SUM(F7:F18)</f>
        <v>172.32551245986198</v>
      </c>
      <c r="G20" s="1"/>
      <c r="H20" s="1"/>
    </row>
  </sheetData>
  <mergeCells count="3">
    <mergeCell ref="A1:H2"/>
    <mergeCell ref="A3:H3"/>
    <mergeCell ref="A5:H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90"/>
  <sheetViews>
    <sheetView showGridLines="0" workbookViewId="0">
      <selection activeCell="L15" sqref="L15"/>
    </sheetView>
  </sheetViews>
  <sheetFormatPr baseColWidth="10" defaultColWidth="8.83203125" defaultRowHeight="14"/>
  <cols>
    <col min="1" max="1" width="13" customWidth="1"/>
    <col min="2" max="2" width="15" customWidth="1"/>
    <col min="3" max="7" width="16" customWidth="1"/>
    <col min="8" max="8" width="12" customWidth="1"/>
    <col min="9" max="10" width="16" customWidth="1"/>
    <col min="11" max="12" width="10" customWidth="1"/>
  </cols>
  <sheetData>
    <row r="1" spans="1:12" ht="29" customHeight="1">
      <c r="A1" s="54" t="s">
        <v>216</v>
      </c>
      <c r="B1" s="54"/>
      <c r="C1" s="54"/>
      <c r="D1" s="54"/>
      <c r="E1" s="54"/>
      <c r="F1" s="54"/>
      <c r="G1" s="54"/>
      <c r="H1" s="54"/>
      <c r="I1" s="54"/>
      <c r="J1" s="54"/>
      <c r="K1" s="54"/>
      <c r="L1" s="54"/>
    </row>
    <row r="2" spans="1:12" ht="29" customHeight="1">
      <c r="A2" s="54"/>
      <c r="B2" s="54"/>
      <c r="C2" s="54"/>
      <c r="D2" s="54"/>
      <c r="E2" s="54"/>
      <c r="F2" s="54"/>
      <c r="G2" s="54"/>
      <c r="H2" s="54"/>
      <c r="I2" s="54"/>
      <c r="J2" s="54"/>
      <c r="K2" s="54"/>
      <c r="L2" s="54"/>
    </row>
    <row r="3" spans="1:12" ht="22" customHeight="1">
      <c r="A3" s="55" t="s">
        <v>217</v>
      </c>
      <c r="B3" s="55"/>
      <c r="C3" s="55"/>
      <c r="D3" s="55"/>
      <c r="E3" s="55"/>
      <c r="F3" s="55"/>
      <c r="G3" s="55"/>
      <c r="H3" s="55"/>
      <c r="I3" s="55"/>
      <c r="J3" s="55"/>
      <c r="K3" s="55"/>
      <c r="L3" s="55"/>
    </row>
    <row r="4" spans="1:12" ht="15">
      <c r="A4" s="1"/>
      <c r="B4" s="1"/>
      <c r="C4" s="1"/>
      <c r="D4" s="1"/>
      <c r="E4" s="1"/>
      <c r="F4" s="1"/>
      <c r="G4" s="1"/>
      <c r="H4" s="1"/>
      <c r="I4" s="1"/>
      <c r="J4" s="1"/>
      <c r="K4" s="1"/>
      <c r="L4" s="1"/>
    </row>
    <row r="5" spans="1:12">
      <c r="A5" s="57" t="s">
        <v>218</v>
      </c>
      <c r="B5" s="57"/>
      <c r="C5" s="57"/>
      <c r="D5" s="57"/>
      <c r="E5" s="57"/>
      <c r="F5" s="57"/>
      <c r="G5" s="57"/>
      <c r="H5" s="57"/>
      <c r="I5" s="57"/>
      <c r="J5" s="57"/>
      <c r="K5" s="57"/>
      <c r="L5" s="57"/>
    </row>
    <row r="6" spans="1:12" ht="15">
      <c r="A6" s="2" t="s">
        <v>123</v>
      </c>
      <c r="B6" s="3" t="s">
        <v>219</v>
      </c>
      <c r="C6" s="3" t="s">
        <v>220</v>
      </c>
      <c r="D6" s="3" t="s">
        <v>221</v>
      </c>
      <c r="E6" s="3" t="s">
        <v>222</v>
      </c>
      <c r="F6" s="3" t="s">
        <v>223</v>
      </c>
      <c r="G6" s="3" t="s">
        <v>224</v>
      </c>
      <c r="H6" s="4" t="s">
        <v>158</v>
      </c>
      <c r="I6" s="1"/>
      <c r="J6" s="1"/>
      <c r="K6" s="1"/>
      <c r="L6" s="1"/>
    </row>
    <row r="7" spans="1:12" ht="15">
      <c r="A7" s="5" t="s">
        <v>60</v>
      </c>
      <c r="B7" s="6">
        <v>1599170.1628</v>
      </c>
      <c r="C7" s="16">
        <v>103.8258</v>
      </c>
      <c r="D7" s="16">
        <v>11.5205</v>
      </c>
      <c r="E7" s="16">
        <v>15.962400000000001</v>
      </c>
      <c r="F7" s="16">
        <v>7.2039999999999997</v>
      </c>
      <c r="G7" s="26">
        <v>0.95</v>
      </c>
      <c r="H7" s="6">
        <v>20000</v>
      </c>
      <c r="I7" s="1"/>
      <c r="J7" s="1"/>
      <c r="K7" s="1"/>
      <c r="L7" s="1"/>
    </row>
    <row r="8" spans="1:12" ht="15">
      <c r="A8" s="10" t="s">
        <v>61</v>
      </c>
      <c r="B8" s="11">
        <v>1091811.7109999999</v>
      </c>
      <c r="C8" s="17">
        <v>39.7166</v>
      </c>
      <c r="D8" s="17">
        <v>9.0183999999999997</v>
      </c>
      <c r="E8" s="17">
        <v>12.2475</v>
      </c>
      <c r="F8" s="17">
        <v>8.26</v>
      </c>
      <c r="G8" s="19">
        <v>0.95</v>
      </c>
      <c r="H8" s="11">
        <v>20000</v>
      </c>
      <c r="I8" s="1"/>
      <c r="J8" s="1"/>
      <c r="K8" s="1"/>
      <c r="L8" s="1"/>
    </row>
    <row r="9" spans="1:12" ht="15">
      <c r="A9" s="1"/>
      <c r="B9" s="1"/>
      <c r="C9" s="1"/>
      <c r="D9" s="1"/>
      <c r="E9" s="1"/>
      <c r="F9" s="1"/>
      <c r="G9" s="1"/>
      <c r="H9" s="1"/>
      <c r="I9" s="1"/>
      <c r="J9" s="1"/>
      <c r="K9" s="1"/>
      <c r="L9" s="1"/>
    </row>
    <row r="10" spans="1:12" ht="15">
      <c r="A10" s="1"/>
      <c r="B10" s="1"/>
      <c r="C10" s="1"/>
      <c r="D10" s="1"/>
      <c r="E10" s="1"/>
      <c r="F10" s="1"/>
      <c r="G10" s="1"/>
      <c r="H10" s="1"/>
      <c r="I10" s="1"/>
      <c r="J10" s="1"/>
      <c r="K10" s="1"/>
      <c r="L10" s="1"/>
    </row>
    <row r="11" spans="1:12">
      <c r="A11" s="57" t="s">
        <v>225</v>
      </c>
      <c r="B11" s="57"/>
      <c r="C11" s="57"/>
      <c r="D11" s="57"/>
      <c r="E11" s="57"/>
      <c r="F11" s="57"/>
      <c r="G11" s="57"/>
      <c r="H11" s="57"/>
      <c r="I11" s="57"/>
      <c r="J11" s="57"/>
      <c r="K11" s="57"/>
      <c r="L11" s="57"/>
    </row>
    <row r="12" spans="1:12" ht="15">
      <c r="A12" s="2" t="s">
        <v>123</v>
      </c>
      <c r="B12" s="3" t="s">
        <v>226</v>
      </c>
      <c r="C12" s="3" t="s">
        <v>227</v>
      </c>
      <c r="D12" s="3" t="s">
        <v>228</v>
      </c>
      <c r="E12" s="3" t="s">
        <v>229</v>
      </c>
      <c r="F12" s="3" t="s">
        <v>230</v>
      </c>
      <c r="G12" s="3" t="s">
        <v>231</v>
      </c>
      <c r="H12" s="3" t="s">
        <v>232</v>
      </c>
      <c r="I12" s="3" t="s">
        <v>233</v>
      </c>
      <c r="J12" s="4" t="s">
        <v>234</v>
      </c>
      <c r="K12" s="1"/>
      <c r="L12" s="1"/>
    </row>
    <row r="13" spans="1:12" ht="15">
      <c r="A13" s="5" t="s">
        <v>60</v>
      </c>
      <c r="B13" s="5">
        <v>36</v>
      </c>
      <c r="C13" s="5">
        <v>5</v>
      </c>
      <c r="D13" s="26">
        <v>0.13888899999999998</v>
      </c>
      <c r="E13" s="28">
        <v>4.2200000000000001E-2</v>
      </c>
      <c r="F13" s="5">
        <v>2</v>
      </c>
      <c r="G13" s="26">
        <v>5.5556000000000001E-2</v>
      </c>
      <c r="H13" s="28">
        <v>0.88049999999999995</v>
      </c>
      <c r="I13" s="29">
        <v>442.25670000000002</v>
      </c>
      <c r="J13" s="29">
        <v>28.676200000000001</v>
      </c>
      <c r="K13" s="1"/>
      <c r="L13" s="1"/>
    </row>
    <row r="14" spans="1:12" ht="15">
      <c r="A14" s="10" t="s">
        <v>61</v>
      </c>
      <c r="B14" s="10">
        <v>36</v>
      </c>
      <c r="C14" s="10">
        <v>4</v>
      </c>
      <c r="D14" s="19">
        <v>0.111111</v>
      </c>
      <c r="E14" s="30">
        <v>0.14419999999999999</v>
      </c>
      <c r="F14" s="10">
        <v>3</v>
      </c>
      <c r="G14" s="19">
        <v>8.333299999999999E-2</v>
      </c>
      <c r="H14" s="30">
        <v>0.40029999999999999</v>
      </c>
      <c r="I14" s="31">
        <v>355.12990000000002</v>
      </c>
      <c r="J14" s="31">
        <v>8.5175999999999998</v>
      </c>
      <c r="K14" s="1"/>
      <c r="L14" s="1"/>
    </row>
    <row r="15" spans="1:12" ht="15">
      <c r="A15" s="1"/>
      <c r="B15" s="1"/>
      <c r="C15" s="1"/>
      <c r="D15" s="1"/>
      <c r="E15" s="1"/>
      <c r="F15" s="1"/>
      <c r="G15" s="1"/>
      <c r="H15" s="1"/>
      <c r="I15" s="1"/>
      <c r="J15" s="1"/>
      <c r="K15" s="1"/>
      <c r="L15" s="1"/>
    </row>
    <row r="16" spans="1:12" ht="15">
      <c r="A16" s="1"/>
      <c r="B16" s="1"/>
      <c r="C16" s="1"/>
      <c r="D16" s="1"/>
      <c r="E16" s="1"/>
      <c r="F16" s="1"/>
      <c r="G16" s="1"/>
      <c r="H16" s="1"/>
      <c r="I16" s="1"/>
      <c r="J16" s="1"/>
      <c r="K16" s="1"/>
      <c r="L16" s="1"/>
    </row>
    <row r="17" spans="1:12">
      <c r="A17" s="57" t="s">
        <v>235</v>
      </c>
      <c r="B17" s="57"/>
      <c r="C17" s="57"/>
      <c r="D17" s="57"/>
      <c r="E17" s="57"/>
      <c r="F17" s="57"/>
      <c r="G17" s="57"/>
      <c r="H17" s="57"/>
      <c r="I17" s="57"/>
      <c r="J17" s="57"/>
      <c r="K17" s="57"/>
      <c r="L17" s="57"/>
    </row>
    <row r="18" spans="1:12" ht="15">
      <c r="A18" s="2" t="s">
        <v>236</v>
      </c>
      <c r="B18" s="3" t="s">
        <v>123</v>
      </c>
      <c r="C18" s="3" t="s">
        <v>237</v>
      </c>
      <c r="D18" s="3" t="s">
        <v>238</v>
      </c>
      <c r="E18" s="3" t="s">
        <v>239</v>
      </c>
      <c r="F18" s="3" t="s">
        <v>240</v>
      </c>
      <c r="G18" s="3" t="s">
        <v>241</v>
      </c>
      <c r="H18" s="4" t="s">
        <v>242</v>
      </c>
      <c r="I18" s="1"/>
      <c r="J18" s="1"/>
      <c r="K18" s="1"/>
      <c r="L18" s="1"/>
    </row>
    <row r="19" spans="1:12" ht="15">
      <c r="A19" s="5" t="s">
        <v>243</v>
      </c>
      <c r="B19" s="5" t="s">
        <v>60</v>
      </c>
      <c r="C19" s="6">
        <v>143472.07990000001</v>
      </c>
      <c r="D19" s="6">
        <v>138906.8296</v>
      </c>
      <c r="E19" s="6">
        <v>373930.83360000001</v>
      </c>
      <c r="F19" s="6">
        <v>373930.83360000001</v>
      </c>
      <c r="G19" s="6">
        <v>-127299.4088</v>
      </c>
      <c r="H19" s="5">
        <v>0</v>
      </c>
      <c r="I19" s="1"/>
      <c r="J19" s="1"/>
      <c r="K19" s="1"/>
      <c r="L19" s="1"/>
    </row>
    <row r="20" spans="1:12" ht="15">
      <c r="A20" s="7" t="s">
        <v>244</v>
      </c>
      <c r="B20" s="7" t="s">
        <v>60</v>
      </c>
      <c r="C20" s="32">
        <v>138969.53270000001</v>
      </c>
      <c r="D20" s="32">
        <v>136737.79380000001</v>
      </c>
      <c r="E20" s="32">
        <v>362195.85869999998</v>
      </c>
      <c r="F20" s="32">
        <v>362195.85869999998</v>
      </c>
      <c r="G20" s="32">
        <v>63228.979599999999</v>
      </c>
      <c r="H20" s="7">
        <v>0</v>
      </c>
      <c r="I20" s="1"/>
      <c r="J20" s="1"/>
      <c r="K20" s="1"/>
      <c r="L20" s="1"/>
    </row>
    <row r="21" spans="1:12" ht="15">
      <c r="A21" s="7" t="s">
        <v>245</v>
      </c>
      <c r="B21" s="7" t="s">
        <v>60</v>
      </c>
      <c r="C21" s="32">
        <v>152203.30910000001</v>
      </c>
      <c r="D21" s="32">
        <v>149717.20939999999</v>
      </c>
      <c r="E21" s="32">
        <v>396687.00880000001</v>
      </c>
      <c r="F21" s="32">
        <v>396687.00880000001</v>
      </c>
      <c r="G21" s="32">
        <v>93681.34</v>
      </c>
      <c r="H21" s="7">
        <v>0</v>
      </c>
      <c r="I21" s="1"/>
      <c r="J21" s="1"/>
      <c r="K21" s="1"/>
      <c r="L21" s="1"/>
    </row>
    <row r="22" spans="1:12" ht="15">
      <c r="A22" s="7" t="s">
        <v>246</v>
      </c>
      <c r="B22" s="7" t="s">
        <v>60</v>
      </c>
      <c r="C22" s="32">
        <v>142920.47640000001</v>
      </c>
      <c r="D22" s="32">
        <v>143336.1404</v>
      </c>
      <c r="E22" s="32">
        <v>372493.19099999999</v>
      </c>
      <c r="F22" s="32">
        <v>372493.19099999999</v>
      </c>
      <c r="G22" s="32">
        <v>236051.8167</v>
      </c>
      <c r="H22" s="7">
        <v>0</v>
      </c>
      <c r="I22" s="1"/>
      <c r="J22" s="1"/>
      <c r="K22" s="1"/>
      <c r="L22" s="1"/>
    </row>
    <row r="23" spans="1:12" ht="15">
      <c r="A23" s="7" t="s">
        <v>247</v>
      </c>
      <c r="B23" s="7" t="s">
        <v>60</v>
      </c>
      <c r="C23" s="32">
        <v>141371.49859999999</v>
      </c>
      <c r="D23" s="32">
        <v>141274.024</v>
      </c>
      <c r="E23" s="32">
        <v>368456.09499999997</v>
      </c>
      <c r="F23" s="32">
        <v>368456.09499999997</v>
      </c>
      <c r="G23" s="32">
        <v>145164.17290000001</v>
      </c>
      <c r="H23" s="7">
        <v>0</v>
      </c>
      <c r="I23" s="1"/>
      <c r="J23" s="1"/>
      <c r="K23" s="1"/>
      <c r="L23" s="1"/>
    </row>
    <row r="24" spans="1:12" ht="15">
      <c r="A24" s="7" t="s">
        <v>248</v>
      </c>
      <c r="B24" s="7" t="s">
        <v>60</v>
      </c>
      <c r="C24" s="32">
        <v>122993.7626</v>
      </c>
      <c r="D24" s="32">
        <v>125905.35550000001</v>
      </c>
      <c r="E24" s="32">
        <v>320558.25900000002</v>
      </c>
      <c r="F24" s="32">
        <v>320558.25900000002</v>
      </c>
      <c r="G24" s="32">
        <v>286160.95270000002</v>
      </c>
      <c r="H24" s="7">
        <v>0</v>
      </c>
      <c r="I24" s="1"/>
      <c r="J24" s="1"/>
      <c r="K24" s="1"/>
      <c r="L24" s="1"/>
    </row>
    <row r="25" spans="1:12" ht="15">
      <c r="A25" s="7" t="s">
        <v>249</v>
      </c>
      <c r="B25" s="7" t="s">
        <v>60</v>
      </c>
      <c r="C25" s="32">
        <v>124148.4768</v>
      </c>
      <c r="D25" s="32">
        <v>123257.20849999999</v>
      </c>
      <c r="E25" s="32">
        <v>323567.78720000002</v>
      </c>
      <c r="F25" s="32">
        <v>323567.78720000002</v>
      </c>
      <c r="G25" s="32">
        <v>19751.013200000001</v>
      </c>
      <c r="H25" s="7">
        <v>0</v>
      </c>
      <c r="I25" s="1"/>
      <c r="J25" s="1"/>
      <c r="K25" s="1"/>
      <c r="L25" s="1"/>
    </row>
    <row r="26" spans="1:12" ht="15">
      <c r="A26" s="7" t="s">
        <v>250</v>
      </c>
      <c r="B26" s="7" t="s">
        <v>60</v>
      </c>
      <c r="C26" s="32">
        <v>118118.0871</v>
      </c>
      <c r="D26" s="32">
        <v>120262.0711</v>
      </c>
      <c r="E26" s="32">
        <v>307850.8014</v>
      </c>
      <c r="F26" s="32">
        <v>307850.8014</v>
      </c>
      <c r="G26" s="32">
        <v>153089.98560000001</v>
      </c>
      <c r="H26" s="7">
        <v>0</v>
      </c>
      <c r="I26" s="1"/>
      <c r="J26" s="1"/>
      <c r="K26" s="1"/>
      <c r="L26" s="1"/>
    </row>
    <row r="27" spans="1:12" ht="15">
      <c r="A27" s="7" t="s">
        <v>251</v>
      </c>
      <c r="B27" s="7" t="s">
        <v>60</v>
      </c>
      <c r="C27" s="32">
        <v>117936.7754</v>
      </c>
      <c r="D27" s="32">
        <v>115999.0187</v>
      </c>
      <c r="E27" s="32">
        <v>307378.24920000002</v>
      </c>
      <c r="F27" s="32">
        <v>307378.24920000002</v>
      </c>
      <c r="G27" s="32">
        <v>-89097.245699999999</v>
      </c>
      <c r="H27" s="7">
        <v>0</v>
      </c>
      <c r="I27" s="1"/>
      <c r="J27" s="1"/>
      <c r="K27" s="1"/>
      <c r="L27" s="1"/>
    </row>
    <row r="28" spans="1:12" ht="15">
      <c r="A28" s="7" t="s">
        <v>252</v>
      </c>
      <c r="B28" s="7" t="s">
        <v>60</v>
      </c>
      <c r="C28" s="32">
        <v>115081.2668</v>
      </c>
      <c r="D28" s="32">
        <v>120305.8743</v>
      </c>
      <c r="E28" s="32">
        <v>299935.9461</v>
      </c>
      <c r="F28" s="32">
        <v>299935.9461</v>
      </c>
      <c r="G28" s="32">
        <v>344650.78610000003</v>
      </c>
      <c r="H28" s="7">
        <v>1</v>
      </c>
      <c r="I28" s="1"/>
      <c r="J28" s="1"/>
      <c r="K28" s="1"/>
      <c r="L28" s="1"/>
    </row>
    <row r="29" spans="1:12" ht="15">
      <c r="A29" s="7" t="s">
        <v>253</v>
      </c>
      <c r="B29" s="7" t="s">
        <v>60</v>
      </c>
      <c r="C29" s="32">
        <v>115987.2908</v>
      </c>
      <c r="D29" s="32">
        <v>117443.194</v>
      </c>
      <c r="E29" s="32">
        <v>302297.31359999999</v>
      </c>
      <c r="F29" s="32">
        <v>302297.31359999999</v>
      </c>
      <c r="G29" s="32">
        <v>141858.85759999999</v>
      </c>
      <c r="H29" s="7">
        <v>0</v>
      </c>
      <c r="I29" s="1"/>
      <c r="J29" s="1"/>
      <c r="K29" s="1"/>
      <c r="L29" s="1"/>
    </row>
    <row r="30" spans="1:12" ht="15">
      <c r="A30" s="7" t="s">
        <v>254</v>
      </c>
      <c r="B30" s="7" t="s">
        <v>60</v>
      </c>
      <c r="C30" s="32">
        <v>128704.5592</v>
      </c>
      <c r="D30" s="32">
        <v>130155.2806</v>
      </c>
      <c r="E30" s="32">
        <v>335442.2904</v>
      </c>
      <c r="F30" s="32">
        <v>335442.2904</v>
      </c>
      <c r="G30" s="32">
        <v>197382.15179999999</v>
      </c>
      <c r="H30" s="7">
        <v>0</v>
      </c>
      <c r="I30" s="1"/>
      <c r="J30" s="1"/>
      <c r="K30" s="1"/>
      <c r="L30" s="1"/>
    </row>
    <row r="31" spans="1:12" ht="15">
      <c r="A31" s="7" t="s">
        <v>255</v>
      </c>
      <c r="B31" s="7" t="s">
        <v>60</v>
      </c>
      <c r="C31" s="32">
        <v>131319.68799999999</v>
      </c>
      <c r="D31" s="32">
        <v>142774.7402</v>
      </c>
      <c r="E31" s="32">
        <v>353913.17979999998</v>
      </c>
      <c r="F31" s="32">
        <v>371608.83880000003</v>
      </c>
      <c r="G31" s="32">
        <v>700067.10800000001</v>
      </c>
      <c r="H31" s="7">
        <v>1</v>
      </c>
      <c r="I31" s="1"/>
      <c r="J31" s="1"/>
      <c r="K31" s="1"/>
      <c r="L31" s="1"/>
    </row>
    <row r="32" spans="1:12" ht="15">
      <c r="A32" s="7" t="s">
        <v>256</v>
      </c>
      <c r="B32" s="7" t="s">
        <v>60</v>
      </c>
      <c r="C32" s="32">
        <v>132111.00589999999</v>
      </c>
      <c r="D32" s="32">
        <v>134050.0373</v>
      </c>
      <c r="E32" s="32">
        <v>517527.56199999998</v>
      </c>
      <c r="F32" s="32">
        <v>543403.94010000001</v>
      </c>
      <c r="G32" s="32">
        <v>115539.3645</v>
      </c>
      <c r="H32" s="7">
        <v>0</v>
      </c>
      <c r="I32" s="1"/>
      <c r="J32" s="1"/>
      <c r="K32" s="1"/>
      <c r="L32" s="1"/>
    </row>
    <row r="33" spans="1:12" ht="15">
      <c r="A33" s="7" t="s">
        <v>257</v>
      </c>
      <c r="B33" s="7" t="s">
        <v>60</v>
      </c>
      <c r="C33" s="32">
        <v>145736.08900000001</v>
      </c>
      <c r="D33" s="32">
        <v>152703.74069999999</v>
      </c>
      <c r="E33" s="32">
        <v>517770.27149999997</v>
      </c>
      <c r="F33" s="32">
        <v>543658.78509999998</v>
      </c>
      <c r="G33" s="32">
        <v>446178.30339999998</v>
      </c>
      <c r="H33" s="7">
        <v>0</v>
      </c>
      <c r="I33" s="1"/>
      <c r="J33" s="1"/>
      <c r="K33" s="1"/>
      <c r="L33" s="1"/>
    </row>
    <row r="34" spans="1:12" ht="15">
      <c r="A34" s="7" t="s">
        <v>258</v>
      </c>
      <c r="B34" s="7" t="s">
        <v>60</v>
      </c>
      <c r="C34" s="32">
        <v>149772.7383</v>
      </c>
      <c r="D34" s="32">
        <v>147357.89319999999</v>
      </c>
      <c r="E34" s="32">
        <v>562867.90960000001</v>
      </c>
      <c r="F34" s="32">
        <v>591011.3051</v>
      </c>
      <c r="G34" s="32">
        <v>-144651.4308</v>
      </c>
      <c r="H34" s="7">
        <v>0</v>
      </c>
      <c r="I34" s="1"/>
      <c r="J34" s="1"/>
      <c r="K34" s="1"/>
      <c r="L34" s="1"/>
    </row>
    <row r="35" spans="1:12" ht="15">
      <c r="A35" s="7" t="s">
        <v>259</v>
      </c>
      <c r="B35" s="7" t="s">
        <v>60</v>
      </c>
      <c r="C35" s="32">
        <v>144493.2144</v>
      </c>
      <c r="D35" s="32">
        <v>144509.2536</v>
      </c>
      <c r="E35" s="32">
        <v>573662.79639999999</v>
      </c>
      <c r="F35" s="32">
        <v>602345.9362</v>
      </c>
      <c r="G35" s="32">
        <v>-21301.2624</v>
      </c>
      <c r="H35" s="7">
        <v>0</v>
      </c>
      <c r="I35" s="1"/>
      <c r="J35" s="1"/>
      <c r="K35" s="1"/>
      <c r="L35" s="1"/>
    </row>
    <row r="36" spans="1:12" ht="15">
      <c r="A36" s="7" t="s">
        <v>260</v>
      </c>
      <c r="B36" s="7" t="s">
        <v>60</v>
      </c>
      <c r="C36" s="32">
        <v>133328.9112</v>
      </c>
      <c r="D36" s="32">
        <v>132020.20019999999</v>
      </c>
      <c r="E36" s="32">
        <v>572919.29700000002</v>
      </c>
      <c r="F36" s="32">
        <v>601565.26190000004</v>
      </c>
      <c r="G36" s="32">
        <v>-148252.4762</v>
      </c>
      <c r="H36" s="7">
        <v>0</v>
      </c>
      <c r="I36" s="1"/>
      <c r="J36" s="1"/>
      <c r="K36" s="1"/>
      <c r="L36" s="1"/>
    </row>
    <row r="37" spans="1:12" ht="15">
      <c r="A37" s="7" t="s">
        <v>261</v>
      </c>
      <c r="B37" s="7" t="s">
        <v>60</v>
      </c>
      <c r="C37" s="32">
        <v>128492.6048</v>
      </c>
      <c r="D37" s="32">
        <v>126652.613</v>
      </c>
      <c r="E37" s="32">
        <v>560961.24029999995</v>
      </c>
      <c r="F37" s="32">
        <v>589009.30229999998</v>
      </c>
      <c r="G37" s="32">
        <v>-225068.06090000001</v>
      </c>
      <c r="H37" s="7">
        <v>0</v>
      </c>
      <c r="I37" s="1"/>
      <c r="J37" s="1"/>
      <c r="K37" s="1"/>
      <c r="L37" s="1"/>
    </row>
    <row r="38" spans="1:12" ht="15">
      <c r="A38" s="7" t="s">
        <v>262</v>
      </c>
      <c r="B38" s="7" t="s">
        <v>60</v>
      </c>
      <c r="C38" s="32">
        <v>123529.3058</v>
      </c>
      <c r="D38" s="32">
        <v>122149.4077</v>
      </c>
      <c r="E38" s="32">
        <v>573198.93000000005</v>
      </c>
      <c r="F38" s="32">
        <v>601858.87650000001</v>
      </c>
      <c r="G38" s="32">
        <v>-214215.05480000001</v>
      </c>
      <c r="H38" s="7">
        <v>0</v>
      </c>
      <c r="I38" s="1"/>
      <c r="J38" s="1"/>
      <c r="K38" s="1"/>
      <c r="L38" s="1"/>
    </row>
    <row r="39" spans="1:12" ht="15">
      <c r="A39" s="7" t="s">
        <v>263</v>
      </c>
      <c r="B39" s="7" t="s">
        <v>60</v>
      </c>
      <c r="C39" s="32">
        <v>117753.3398</v>
      </c>
      <c r="D39" s="32">
        <v>119423.9434</v>
      </c>
      <c r="E39" s="32">
        <v>569418.55489999999</v>
      </c>
      <c r="F39" s="32">
        <v>597889.48259999999</v>
      </c>
      <c r="G39" s="32">
        <v>-44067.191599999998</v>
      </c>
      <c r="H39" s="7">
        <v>0</v>
      </c>
      <c r="I39" s="1"/>
      <c r="J39" s="1"/>
      <c r="K39" s="1"/>
      <c r="L39" s="1"/>
    </row>
    <row r="40" spans="1:12" ht="15">
      <c r="A40" s="7" t="s">
        <v>264</v>
      </c>
      <c r="B40" s="7" t="s">
        <v>60</v>
      </c>
      <c r="C40" s="32">
        <v>123486.34819999999</v>
      </c>
      <c r="D40" s="32">
        <v>122427.6954</v>
      </c>
      <c r="E40" s="32">
        <v>569435.69460000005</v>
      </c>
      <c r="F40" s="32">
        <v>597907.47930000001</v>
      </c>
      <c r="G40" s="32">
        <v>-211966.04990000001</v>
      </c>
      <c r="H40" s="7">
        <v>0</v>
      </c>
      <c r="I40" s="1"/>
      <c r="J40" s="1"/>
      <c r="K40" s="1"/>
      <c r="L40" s="1"/>
    </row>
    <row r="41" spans="1:12" ht="15">
      <c r="A41" s="7" t="s">
        <v>265</v>
      </c>
      <c r="B41" s="7" t="s">
        <v>60</v>
      </c>
      <c r="C41" s="32">
        <v>120525.93550000001</v>
      </c>
      <c r="D41" s="32">
        <v>118984.98119999999</v>
      </c>
      <c r="E41" s="32">
        <v>524822.85329999996</v>
      </c>
      <c r="F41" s="32">
        <v>551063.99600000004</v>
      </c>
      <c r="G41" s="32">
        <v>-209343.9651</v>
      </c>
      <c r="H41" s="7">
        <v>0</v>
      </c>
      <c r="I41" s="1"/>
      <c r="J41" s="1"/>
      <c r="K41" s="1"/>
      <c r="L41" s="1"/>
    </row>
    <row r="42" spans="1:12" ht="15">
      <c r="A42" s="7" t="s">
        <v>266</v>
      </c>
      <c r="B42" s="7" t="s">
        <v>60</v>
      </c>
      <c r="C42" s="32">
        <v>132800.0662</v>
      </c>
      <c r="D42" s="32">
        <v>132645.49400000001</v>
      </c>
      <c r="E42" s="32">
        <v>507825.11330000003</v>
      </c>
      <c r="F42" s="32">
        <v>533216.36899999995</v>
      </c>
      <c r="G42" s="32">
        <v>-113580.6324</v>
      </c>
      <c r="H42" s="7">
        <v>0</v>
      </c>
      <c r="I42" s="1"/>
      <c r="J42" s="1"/>
      <c r="K42" s="1"/>
      <c r="L42" s="1"/>
    </row>
    <row r="43" spans="1:12" ht="15">
      <c r="A43" s="7" t="s">
        <v>267</v>
      </c>
      <c r="B43" s="7" t="s">
        <v>60</v>
      </c>
      <c r="C43" s="32">
        <v>141873.3609</v>
      </c>
      <c r="D43" s="32">
        <v>143534.71280000001</v>
      </c>
      <c r="E43" s="32">
        <v>476418.14110000001</v>
      </c>
      <c r="F43" s="32">
        <v>500239.04820000002</v>
      </c>
      <c r="G43" s="32">
        <v>148169.9988</v>
      </c>
      <c r="H43" s="7">
        <v>0</v>
      </c>
      <c r="I43" s="1"/>
      <c r="J43" s="1"/>
      <c r="K43" s="1"/>
      <c r="L43" s="1"/>
    </row>
    <row r="44" spans="1:12" ht="15">
      <c r="A44" s="7" t="s">
        <v>268</v>
      </c>
      <c r="B44" s="7" t="s">
        <v>60</v>
      </c>
      <c r="C44" s="32">
        <v>139784.35930000001</v>
      </c>
      <c r="D44" s="32">
        <v>138438.943</v>
      </c>
      <c r="E44" s="32">
        <v>279198.89679999999</v>
      </c>
      <c r="F44" s="32">
        <v>447166.44</v>
      </c>
      <c r="G44" s="32">
        <v>16470.510900000001</v>
      </c>
      <c r="H44" s="7">
        <v>0</v>
      </c>
      <c r="I44" s="1"/>
      <c r="J44" s="1"/>
      <c r="K44" s="1"/>
      <c r="L44" s="1"/>
    </row>
    <row r="45" spans="1:12" ht="15">
      <c r="A45" s="7" t="s">
        <v>269</v>
      </c>
      <c r="B45" s="7" t="s">
        <v>60</v>
      </c>
      <c r="C45" s="32">
        <v>157455.1292</v>
      </c>
      <c r="D45" s="32">
        <v>154131.36240000001</v>
      </c>
      <c r="E45" s="32">
        <v>261836.39110000001</v>
      </c>
      <c r="F45" s="32">
        <v>441836.24530000001</v>
      </c>
      <c r="G45" s="32">
        <v>-92432.836299999995</v>
      </c>
      <c r="H45" s="7">
        <v>0</v>
      </c>
      <c r="I45" s="1"/>
      <c r="J45" s="1"/>
      <c r="K45" s="1"/>
      <c r="L45" s="1"/>
    </row>
    <row r="46" spans="1:12" ht="15">
      <c r="A46" s="7" t="s">
        <v>270</v>
      </c>
      <c r="B46" s="7" t="s">
        <v>60</v>
      </c>
      <c r="C46" s="32">
        <v>148723.18470000001</v>
      </c>
      <c r="D46" s="32">
        <v>149833.58660000001</v>
      </c>
      <c r="E46" s="32">
        <v>81827.177500000005</v>
      </c>
      <c r="F46" s="32">
        <v>436506.05060000002</v>
      </c>
      <c r="G46" s="32">
        <v>178819.9308</v>
      </c>
      <c r="H46" s="7">
        <v>0</v>
      </c>
      <c r="I46" s="1"/>
      <c r="J46" s="1"/>
      <c r="K46" s="1"/>
      <c r="L46" s="1"/>
    </row>
    <row r="47" spans="1:12" ht="15">
      <c r="A47" s="7" t="s">
        <v>271</v>
      </c>
      <c r="B47" s="7" t="s">
        <v>60</v>
      </c>
      <c r="C47" s="32">
        <v>156917.2873</v>
      </c>
      <c r="D47" s="32">
        <v>147334.93470000001</v>
      </c>
      <c r="E47" s="32">
        <v>150408.4014</v>
      </c>
      <c r="F47" s="32">
        <v>431175.85600000003</v>
      </c>
      <c r="G47" s="32">
        <v>-532640.84900000005</v>
      </c>
      <c r="H47" s="7">
        <v>0</v>
      </c>
      <c r="I47" s="1"/>
      <c r="J47" s="1"/>
      <c r="K47" s="1"/>
      <c r="L47" s="1"/>
    </row>
    <row r="48" spans="1:12" ht="15">
      <c r="A48" s="7" t="s">
        <v>272</v>
      </c>
      <c r="B48" s="7" t="s">
        <v>60</v>
      </c>
      <c r="C48" s="32">
        <v>131124.92730000001</v>
      </c>
      <c r="D48" s="32">
        <v>134447.5949</v>
      </c>
      <c r="E48" s="32">
        <v>190581.23680000001</v>
      </c>
      <c r="F48" s="32">
        <v>425845.66129999998</v>
      </c>
      <c r="G48" s="32">
        <v>210230.57699999999</v>
      </c>
      <c r="H48" s="7">
        <v>0</v>
      </c>
      <c r="I48" s="1"/>
      <c r="J48" s="1"/>
      <c r="K48" s="1"/>
      <c r="L48" s="1"/>
    </row>
    <row r="49" spans="1:12" ht="15">
      <c r="A49" s="7" t="s">
        <v>273</v>
      </c>
      <c r="B49" s="7" t="s">
        <v>60</v>
      </c>
      <c r="C49" s="32">
        <v>128685.66559999999</v>
      </c>
      <c r="D49" s="32">
        <v>128838.4121</v>
      </c>
      <c r="E49" s="32">
        <v>257043.11069999999</v>
      </c>
      <c r="F49" s="32">
        <v>420515.46659999999</v>
      </c>
      <c r="G49" s="32">
        <v>-39366.066200000001</v>
      </c>
      <c r="H49" s="7">
        <v>0</v>
      </c>
      <c r="I49" s="1"/>
      <c r="J49" s="1"/>
      <c r="K49" s="1"/>
      <c r="L49" s="1"/>
    </row>
    <row r="50" spans="1:12" ht="15">
      <c r="A50" s="7" t="s">
        <v>274</v>
      </c>
      <c r="B50" s="7" t="s">
        <v>60</v>
      </c>
      <c r="C50" s="32">
        <v>124055.561</v>
      </c>
      <c r="D50" s="32">
        <v>123121.95110000001</v>
      </c>
      <c r="E50" s="32">
        <v>266001.9314</v>
      </c>
      <c r="F50" s="32">
        <v>415185.272</v>
      </c>
      <c r="G50" s="32">
        <v>-137403.51939999999</v>
      </c>
      <c r="H50" s="7">
        <v>0</v>
      </c>
      <c r="I50" s="1"/>
      <c r="J50" s="1"/>
      <c r="K50" s="1"/>
      <c r="L50" s="1"/>
    </row>
    <row r="51" spans="1:12" ht="15">
      <c r="A51" s="7" t="s">
        <v>275</v>
      </c>
      <c r="B51" s="7" t="s">
        <v>60</v>
      </c>
      <c r="C51" s="32">
        <v>124071.7029</v>
      </c>
      <c r="D51" s="32">
        <v>120856.59570000001</v>
      </c>
      <c r="E51" s="32">
        <v>266613.95809999999</v>
      </c>
      <c r="F51" s="32">
        <v>409855.0773</v>
      </c>
      <c r="G51" s="32">
        <v>-275238.36949999997</v>
      </c>
      <c r="H51" s="7">
        <v>0</v>
      </c>
      <c r="I51" s="1"/>
      <c r="J51" s="1"/>
      <c r="K51" s="1"/>
      <c r="L51" s="1"/>
    </row>
    <row r="52" spans="1:12" ht="15">
      <c r="A52" s="7" t="s">
        <v>276</v>
      </c>
      <c r="B52" s="7" t="s">
        <v>60</v>
      </c>
      <c r="C52" s="32">
        <v>121698.0885</v>
      </c>
      <c r="D52" s="32">
        <v>123961.558</v>
      </c>
      <c r="E52" s="32">
        <v>260823.44510000001</v>
      </c>
      <c r="F52" s="32">
        <v>404524.88270000002</v>
      </c>
      <c r="G52" s="32">
        <v>67094.824399999998</v>
      </c>
      <c r="H52" s="7">
        <v>0</v>
      </c>
      <c r="I52" s="1"/>
      <c r="J52" s="1"/>
      <c r="K52" s="1"/>
      <c r="L52" s="1"/>
    </row>
    <row r="53" spans="1:12" ht="15">
      <c r="A53" s="7" t="s">
        <v>277</v>
      </c>
      <c r="B53" s="7" t="s">
        <v>60</v>
      </c>
      <c r="C53" s="32">
        <v>123181.54459999999</v>
      </c>
      <c r="D53" s="32">
        <v>120657.7598</v>
      </c>
      <c r="E53" s="32">
        <v>284889.33250000002</v>
      </c>
      <c r="F53" s="32">
        <v>399194.68800000002</v>
      </c>
      <c r="G53" s="32">
        <v>-214527.71249999999</v>
      </c>
      <c r="H53" s="7">
        <v>0</v>
      </c>
      <c r="I53" s="1"/>
      <c r="J53" s="1"/>
      <c r="K53" s="1"/>
      <c r="L53" s="1"/>
    </row>
    <row r="54" spans="1:12" ht="15">
      <c r="A54" s="7" t="s">
        <v>278</v>
      </c>
      <c r="B54" s="7" t="s">
        <v>60</v>
      </c>
      <c r="C54" s="32">
        <v>129835.26579999999</v>
      </c>
      <c r="D54" s="32">
        <v>134842.58900000001</v>
      </c>
      <c r="E54" s="32">
        <v>284992.01919999998</v>
      </c>
      <c r="F54" s="32">
        <v>393864.49329999997</v>
      </c>
      <c r="G54" s="32">
        <v>309203.54759999999</v>
      </c>
      <c r="H54" s="7">
        <v>0</v>
      </c>
      <c r="I54" s="1"/>
      <c r="J54" s="1"/>
      <c r="K54" s="1"/>
      <c r="L54" s="1"/>
    </row>
    <row r="55" spans="1:12" ht="15">
      <c r="A55" s="7" t="s">
        <v>243</v>
      </c>
      <c r="B55" s="7" t="s">
        <v>61</v>
      </c>
      <c r="C55" s="32">
        <v>127921.1504</v>
      </c>
      <c r="D55" s="32">
        <v>118379.2441</v>
      </c>
      <c r="E55" s="32">
        <v>369883.84649999999</v>
      </c>
      <c r="F55" s="32">
        <v>369883.84649999999</v>
      </c>
      <c r="G55" s="32">
        <v>-320332.70549999998</v>
      </c>
      <c r="H55" s="7">
        <v>0</v>
      </c>
      <c r="I55" s="1"/>
      <c r="J55" s="1"/>
      <c r="K55" s="1"/>
      <c r="L55" s="1"/>
    </row>
    <row r="56" spans="1:12" ht="15">
      <c r="A56" s="7" t="s">
        <v>244</v>
      </c>
      <c r="B56" s="7" t="s">
        <v>61</v>
      </c>
      <c r="C56" s="32">
        <v>138399.027</v>
      </c>
      <c r="D56" s="32">
        <v>142171.43470000001</v>
      </c>
      <c r="E56" s="32">
        <v>400180.61369999999</v>
      </c>
      <c r="F56" s="32">
        <v>400180.61369999999</v>
      </c>
      <c r="G56" s="32">
        <v>141272.75039999999</v>
      </c>
      <c r="H56" s="7">
        <v>0</v>
      </c>
      <c r="I56" s="1"/>
      <c r="J56" s="1"/>
      <c r="K56" s="1"/>
      <c r="L56" s="1"/>
    </row>
    <row r="57" spans="1:12" ht="15">
      <c r="A57" s="7" t="s">
        <v>245</v>
      </c>
      <c r="B57" s="7" t="s">
        <v>61</v>
      </c>
      <c r="C57" s="32">
        <v>161086.39720000001</v>
      </c>
      <c r="D57" s="32">
        <v>172390.14739999999</v>
      </c>
      <c r="E57" s="32">
        <v>465781.11609999998</v>
      </c>
      <c r="F57" s="32">
        <v>465781.11609999998</v>
      </c>
      <c r="G57" s="32">
        <v>390781.36290000001</v>
      </c>
      <c r="H57" s="7">
        <v>0</v>
      </c>
      <c r="I57" s="1"/>
      <c r="J57" s="1"/>
      <c r="K57" s="1"/>
      <c r="L57" s="1"/>
    </row>
    <row r="58" spans="1:12" ht="15">
      <c r="A58" s="7" t="s">
        <v>246</v>
      </c>
      <c r="B58" s="7" t="s">
        <v>61</v>
      </c>
      <c r="C58" s="32">
        <v>157260.5619</v>
      </c>
      <c r="D58" s="32">
        <v>153020.6476</v>
      </c>
      <c r="E58" s="32">
        <v>454718.7182</v>
      </c>
      <c r="F58" s="32">
        <v>454718.7182</v>
      </c>
      <c r="G58" s="32">
        <v>-176545.01620000001</v>
      </c>
      <c r="H58" s="7">
        <v>0</v>
      </c>
      <c r="I58" s="1"/>
      <c r="J58" s="1"/>
      <c r="K58" s="1"/>
      <c r="L58" s="1"/>
    </row>
    <row r="59" spans="1:12" ht="15">
      <c r="A59" s="7" t="s">
        <v>247</v>
      </c>
      <c r="B59" s="7" t="s">
        <v>61</v>
      </c>
      <c r="C59" s="32">
        <v>133709.8823</v>
      </c>
      <c r="D59" s="32">
        <v>134030.16579999999</v>
      </c>
      <c r="E59" s="32">
        <v>386621.95770000003</v>
      </c>
      <c r="F59" s="32">
        <v>386621.95770000003</v>
      </c>
      <c r="G59" s="32">
        <v>-35816.781600000002</v>
      </c>
      <c r="H59" s="7">
        <v>0</v>
      </c>
      <c r="I59" s="1"/>
      <c r="J59" s="1"/>
      <c r="K59" s="1"/>
      <c r="L59" s="1"/>
    </row>
    <row r="60" spans="1:12" ht="15">
      <c r="A60" s="7" t="s">
        <v>248</v>
      </c>
      <c r="B60" s="7" t="s">
        <v>61</v>
      </c>
      <c r="C60" s="32">
        <v>79550.182400000005</v>
      </c>
      <c r="D60" s="32">
        <v>78383.481299999999</v>
      </c>
      <c r="E60" s="32">
        <v>230019.25289999999</v>
      </c>
      <c r="F60" s="32">
        <v>230019.25289999999</v>
      </c>
      <c r="G60" s="32">
        <v>-75047.670899999997</v>
      </c>
      <c r="H60" s="7">
        <v>0</v>
      </c>
      <c r="I60" s="1"/>
      <c r="J60" s="1"/>
      <c r="K60" s="1"/>
      <c r="L60" s="1"/>
    </row>
    <row r="61" spans="1:12" ht="15">
      <c r="A61" s="7" t="s">
        <v>249</v>
      </c>
      <c r="B61" s="7" t="s">
        <v>61</v>
      </c>
      <c r="C61" s="32">
        <v>47904.737999999998</v>
      </c>
      <c r="D61" s="32">
        <v>44289.394500000002</v>
      </c>
      <c r="E61" s="32">
        <v>138516.4901</v>
      </c>
      <c r="F61" s="32">
        <v>138516.4901</v>
      </c>
      <c r="G61" s="32">
        <v>-141384.204</v>
      </c>
      <c r="H61" s="7">
        <v>0</v>
      </c>
      <c r="I61" s="1"/>
      <c r="J61" s="1"/>
      <c r="K61" s="1"/>
      <c r="L61" s="1"/>
    </row>
    <row r="62" spans="1:12" ht="15">
      <c r="A62" s="7" t="s">
        <v>250</v>
      </c>
      <c r="B62" s="7" t="s">
        <v>61</v>
      </c>
      <c r="C62" s="32">
        <v>30264.7382</v>
      </c>
      <c r="D62" s="32">
        <v>28217.4859</v>
      </c>
      <c r="E62" s="32">
        <v>87510.452600000004</v>
      </c>
      <c r="F62" s="32">
        <v>87510.452600000004</v>
      </c>
      <c r="G62" s="32">
        <v>-80873.833700000003</v>
      </c>
      <c r="H62" s="7">
        <v>0</v>
      </c>
      <c r="I62" s="1"/>
      <c r="J62" s="1"/>
      <c r="K62" s="1"/>
      <c r="L62" s="1"/>
    </row>
    <row r="63" spans="1:12" ht="15">
      <c r="A63" s="7" t="s">
        <v>251</v>
      </c>
      <c r="B63" s="7" t="s">
        <v>61</v>
      </c>
      <c r="C63" s="32">
        <v>24501.151900000001</v>
      </c>
      <c r="D63" s="32">
        <v>25288.442299999999</v>
      </c>
      <c r="E63" s="32">
        <v>70845.05</v>
      </c>
      <c r="F63" s="32">
        <v>70845.05</v>
      </c>
      <c r="G63" s="32">
        <v>19939.572700000001</v>
      </c>
      <c r="H63" s="7">
        <v>0</v>
      </c>
      <c r="I63" s="1"/>
      <c r="J63" s="1"/>
      <c r="K63" s="1"/>
      <c r="L63" s="1"/>
    </row>
    <row r="64" spans="1:12" ht="15">
      <c r="A64" s="7" t="s">
        <v>252</v>
      </c>
      <c r="B64" s="7" t="s">
        <v>61</v>
      </c>
      <c r="C64" s="32">
        <v>27715.182199999999</v>
      </c>
      <c r="D64" s="32">
        <v>28402.183000000001</v>
      </c>
      <c r="E64" s="32">
        <v>80138.414600000004</v>
      </c>
      <c r="F64" s="32">
        <v>80138.414600000004</v>
      </c>
      <c r="G64" s="32">
        <v>18957.4915</v>
      </c>
      <c r="H64" s="7">
        <v>0</v>
      </c>
      <c r="I64" s="1"/>
      <c r="J64" s="1"/>
      <c r="K64" s="1"/>
      <c r="L64" s="1"/>
    </row>
    <row r="65" spans="1:12" ht="15">
      <c r="A65" s="7" t="s">
        <v>253</v>
      </c>
      <c r="B65" s="7" t="s">
        <v>61</v>
      </c>
      <c r="C65" s="32">
        <v>36083.560700000002</v>
      </c>
      <c r="D65" s="32">
        <v>39272.114999999998</v>
      </c>
      <c r="E65" s="32">
        <v>104335.5707</v>
      </c>
      <c r="F65" s="32">
        <v>104335.5707</v>
      </c>
      <c r="G65" s="32">
        <v>110745.90330000001</v>
      </c>
      <c r="H65" s="7">
        <v>1</v>
      </c>
      <c r="I65" s="1"/>
      <c r="J65" s="1"/>
      <c r="K65" s="1"/>
      <c r="L65" s="1"/>
    </row>
    <row r="66" spans="1:12" ht="15">
      <c r="A66" s="7" t="s">
        <v>254</v>
      </c>
      <c r="B66" s="7" t="s">
        <v>61</v>
      </c>
      <c r="C66" s="32">
        <v>76218.341199999995</v>
      </c>
      <c r="D66" s="32">
        <v>78355.258300000001</v>
      </c>
      <c r="E66" s="32">
        <v>220385.2383</v>
      </c>
      <c r="F66" s="32">
        <v>220385.2383</v>
      </c>
      <c r="G66" s="32">
        <v>79905.892800000001</v>
      </c>
      <c r="H66" s="7">
        <v>0</v>
      </c>
      <c r="I66" s="1"/>
      <c r="J66" s="1"/>
      <c r="K66" s="1"/>
      <c r="L66" s="1"/>
    </row>
    <row r="67" spans="1:12" ht="15">
      <c r="A67" s="7" t="s">
        <v>255</v>
      </c>
      <c r="B67" s="7" t="s">
        <v>61</v>
      </c>
      <c r="C67" s="32">
        <v>134155.42920000001</v>
      </c>
      <c r="D67" s="32">
        <v>123464.3964</v>
      </c>
      <c r="E67" s="32">
        <v>291441.49739999999</v>
      </c>
      <c r="F67" s="32">
        <v>306013.5723</v>
      </c>
      <c r="G67" s="32">
        <v>-342730.96539999999</v>
      </c>
      <c r="H67" s="7">
        <v>0</v>
      </c>
      <c r="I67" s="1"/>
      <c r="J67" s="1"/>
      <c r="K67" s="1"/>
      <c r="L67" s="1"/>
    </row>
    <row r="68" spans="1:12" ht="15">
      <c r="A68" s="7" t="s">
        <v>256</v>
      </c>
      <c r="B68" s="7" t="s">
        <v>61</v>
      </c>
      <c r="C68" s="32">
        <v>139864.057</v>
      </c>
      <c r="D68" s="32">
        <v>137132.1856</v>
      </c>
      <c r="E68" s="32">
        <v>295539.84889999998</v>
      </c>
      <c r="F68" s="32">
        <v>310316.84139999998</v>
      </c>
      <c r="G68" s="32">
        <v>-71984.671700000006</v>
      </c>
      <c r="H68" s="7">
        <v>0</v>
      </c>
      <c r="I68" s="1"/>
      <c r="J68" s="1"/>
      <c r="K68" s="1"/>
      <c r="L68" s="1"/>
    </row>
    <row r="69" spans="1:12" ht="15">
      <c r="A69" s="7" t="s">
        <v>257</v>
      </c>
      <c r="B69" s="7" t="s">
        <v>61</v>
      </c>
      <c r="C69" s="32">
        <v>164739.98639999999</v>
      </c>
      <c r="D69" s="32">
        <v>172359.6378</v>
      </c>
      <c r="E69" s="32">
        <v>268791.73340000003</v>
      </c>
      <c r="F69" s="32">
        <v>282231.32010000001</v>
      </c>
      <c r="G69" s="32">
        <v>282183.82189999998</v>
      </c>
      <c r="H69" s="7">
        <v>0</v>
      </c>
      <c r="I69" s="1"/>
      <c r="J69" s="1"/>
      <c r="K69" s="1"/>
      <c r="L69" s="1"/>
    </row>
    <row r="70" spans="1:12" ht="15">
      <c r="A70" s="7" t="s">
        <v>258</v>
      </c>
      <c r="B70" s="7" t="s">
        <v>61</v>
      </c>
      <c r="C70" s="32">
        <v>149227.10269999999</v>
      </c>
      <c r="D70" s="32">
        <v>159765.913</v>
      </c>
      <c r="E70" s="32">
        <v>224336.53469999999</v>
      </c>
      <c r="F70" s="32">
        <v>330501.23839999997</v>
      </c>
      <c r="G70" s="32">
        <v>364389.375</v>
      </c>
      <c r="H70" s="7">
        <v>1</v>
      </c>
      <c r="I70" s="1"/>
      <c r="J70" s="1"/>
      <c r="K70" s="1"/>
      <c r="L70" s="1"/>
    </row>
    <row r="71" spans="1:12" ht="15">
      <c r="A71" s="7" t="s">
        <v>259</v>
      </c>
      <c r="B71" s="7" t="s">
        <v>61</v>
      </c>
      <c r="C71" s="32">
        <v>128014.7586</v>
      </c>
      <c r="D71" s="32">
        <v>137041.677</v>
      </c>
      <c r="E71" s="32">
        <v>319054.09519999998</v>
      </c>
      <c r="F71" s="32">
        <v>389536.74060000002</v>
      </c>
      <c r="G71" s="32">
        <v>299938.11</v>
      </c>
      <c r="H71" s="7">
        <v>0</v>
      </c>
      <c r="I71" s="1"/>
      <c r="J71" s="1"/>
      <c r="K71" s="1"/>
      <c r="L71" s="1"/>
    </row>
    <row r="72" spans="1:12" ht="15">
      <c r="A72" s="7" t="s">
        <v>260</v>
      </c>
      <c r="B72" s="7" t="s">
        <v>61</v>
      </c>
      <c r="C72" s="32">
        <v>98623.944699999993</v>
      </c>
      <c r="D72" s="32">
        <v>91156.883400000006</v>
      </c>
      <c r="E72" s="32">
        <v>374566.79239999998</v>
      </c>
      <c r="F72" s="32">
        <v>393295.13199999998</v>
      </c>
      <c r="G72" s="32">
        <v>-278238.74699999997</v>
      </c>
      <c r="H72" s="7">
        <v>0</v>
      </c>
      <c r="I72" s="1"/>
      <c r="J72" s="1"/>
      <c r="K72" s="1"/>
      <c r="L72" s="1"/>
    </row>
    <row r="73" spans="1:12" ht="15">
      <c r="A73" s="7" t="s">
        <v>261</v>
      </c>
      <c r="B73" s="7" t="s">
        <v>61</v>
      </c>
      <c r="C73" s="32">
        <v>47873.762600000002</v>
      </c>
      <c r="D73" s="32">
        <v>47166.81</v>
      </c>
      <c r="E73" s="32">
        <v>387121.20659999998</v>
      </c>
      <c r="F73" s="32">
        <v>406477.26689999999</v>
      </c>
      <c r="G73" s="32">
        <v>-38281.0599</v>
      </c>
      <c r="H73" s="7">
        <v>0</v>
      </c>
      <c r="I73" s="1"/>
      <c r="J73" s="1"/>
      <c r="K73" s="1"/>
      <c r="L73" s="1"/>
    </row>
    <row r="74" spans="1:12" ht="15">
      <c r="A74" s="7" t="s">
        <v>262</v>
      </c>
      <c r="B74" s="7" t="s">
        <v>61</v>
      </c>
      <c r="C74" s="32">
        <v>31395.5766</v>
      </c>
      <c r="D74" s="32">
        <v>29536.145199999999</v>
      </c>
      <c r="E74" s="32">
        <v>387579.62270000001</v>
      </c>
      <c r="F74" s="32">
        <v>406958.60389999999</v>
      </c>
      <c r="G74" s="32">
        <v>-71142.552100000001</v>
      </c>
      <c r="H74" s="7">
        <v>0</v>
      </c>
      <c r="I74" s="1"/>
      <c r="J74" s="1"/>
      <c r="K74" s="1"/>
      <c r="L74" s="1"/>
    </row>
    <row r="75" spans="1:12" ht="15">
      <c r="A75" s="7" t="s">
        <v>263</v>
      </c>
      <c r="B75" s="7" t="s">
        <v>61</v>
      </c>
      <c r="C75" s="32">
        <v>27311.5252</v>
      </c>
      <c r="D75" s="32">
        <v>26105.5219</v>
      </c>
      <c r="E75" s="32">
        <v>387674.56640000001</v>
      </c>
      <c r="F75" s="32">
        <v>407058.29470000003</v>
      </c>
      <c r="G75" s="32">
        <v>-46125.525600000001</v>
      </c>
      <c r="H75" s="7">
        <v>0</v>
      </c>
      <c r="I75" s="1"/>
      <c r="J75" s="1"/>
      <c r="K75" s="1"/>
      <c r="L75" s="1"/>
    </row>
    <row r="76" spans="1:12" ht="15">
      <c r="A76" s="7" t="s">
        <v>264</v>
      </c>
      <c r="B76" s="7" t="s">
        <v>61</v>
      </c>
      <c r="C76" s="32">
        <v>29702.65</v>
      </c>
      <c r="D76" s="32">
        <v>28908.455900000001</v>
      </c>
      <c r="E76" s="32">
        <v>384054.98710000003</v>
      </c>
      <c r="F76" s="32">
        <v>403257.7365</v>
      </c>
      <c r="G76" s="32">
        <v>-29307.549800000001</v>
      </c>
      <c r="H76" s="7">
        <v>0</v>
      </c>
      <c r="I76" s="1"/>
      <c r="J76" s="1"/>
      <c r="K76" s="1"/>
      <c r="L76" s="1"/>
    </row>
    <row r="77" spans="1:12" ht="15">
      <c r="A77" s="7" t="s">
        <v>265</v>
      </c>
      <c r="B77" s="7" t="s">
        <v>61</v>
      </c>
      <c r="C77" s="32">
        <v>41243.352200000001</v>
      </c>
      <c r="D77" s="32">
        <v>34425.2788</v>
      </c>
      <c r="E77" s="32">
        <v>380985.64380000002</v>
      </c>
      <c r="F77" s="32">
        <v>400034.92599999998</v>
      </c>
      <c r="G77" s="32">
        <v>-235266.4724</v>
      </c>
      <c r="H77" s="7">
        <v>0</v>
      </c>
      <c r="I77" s="1"/>
      <c r="J77" s="1"/>
      <c r="K77" s="1"/>
      <c r="L77" s="1"/>
    </row>
    <row r="78" spans="1:12" ht="15">
      <c r="A78" s="7" t="s">
        <v>266</v>
      </c>
      <c r="B78" s="7" t="s">
        <v>61</v>
      </c>
      <c r="C78" s="32">
        <v>70981.018400000001</v>
      </c>
      <c r="D78" s="32">
        <v>76737.095000000001</v>
      </c>
      <c r="E78" s="32">
        <v>368242.10029999999</v>
      </c>
      <c r="F78" s="32">
        <v>386654.20529999997</v>
      </c>
      <c r="G78" s="32">
        <v>218765.5148</v>
      </c>
      <c r="H78" s="7">
        <v>0</v>
      </c>
      <c r="I78" s="1"/>
      <c r="J78" s="1"/>
      <c r="K78" s="1"/>
      <c r="L78" s="1"/>
    </row>
    <row r="79" spans="1:12" ht="15">
      <c r="A79" s="7" t="s">
        <v>267</v>
      </c>
      <c r="B79" s="7" t="s">
        <v>61</v>
      </c>
      <c r="C79" s="32">
        <v>107687.53720000001</v>
      </c>
      <c r="D79" s="32">
        <v>120801.2592</v>
      </c>
      <c r="E79" s="32">
        <v>393289.1519</v>
      </c>
      <c r="F79" s="32">
        <v>412953.60950000002</v>
      </c>
      <c r="G79" s="32">
        <v>481998.31270000001</v>
      </c>
      <c r="H79" s="7">
        <v>1</v>
      </c>
      <c r="I79" s="1"/>
      <c r="J79" s="1"/>
      <c r="K79" s="1"/>
      <c r="L79" s="1"/>
    </row>
    <row r="80" spans="1:12" ht="15">
      <c r="A80" s="7" t="s">
        <v>268</v>
      </c>
      <c r="B80" s="7" t="s">
        <v>61</v>
      </c>
      <c r="C80" s="32">
        <v>149619.58730000001</v>
      </c>
      <c r="D80" s="32">
        <v>147678.60769999999</v>
      </c>
      <c r="E80" s="32">
        <v>477824.38939999999</v>
      </c>
      <c r="F80" s="32">
        <v>501715.60889999999</v>
      </c>
      <c r="G80" s="32">
        <v>-72384.564899999998</v>
      </c>
      <c r="H80" s="7">
        <v>0</v>
      </c>
      <c r="I80" s="1"/>
      <c r="J80" s="1"/>
      <c r="K80" s="1"/>
      <c r="L80" s="1"/>
    </row>
    <row r="81" spans="1:12" ht="15">
      <c r="A81" s="7" t="s">
        <v>269</v>
      </c>
      <c r="B81" s="7" t="s">
        <v>61</v>
      </c>
      <c r="C81" s="32">
        <v>162511.32029999999</v>
      </c>
      <c r="D81" s="32">
        <v>170520.3419</v>
      </c>
      <c r="E81" s="32">
        <v>477826.36560000002</v>
      </c>
      <c r="F81" s="32">
        <v>501717.6839</v>
      </c>
      <c r="G81" s="32">
        <v>303059.94839999999</v>
      </c>
      <c r="H81" s="7">
        <v>0</v>
      </c>
      <c r="I81" s="1"/>
      <c r="J81" s="1"/>
      <c r="K81" s="1"/>
      <c r="L81" s="1"/>
    </row>
    <row r="82" spans="1:12" ht="15">
      <c r="A82" s="7" t="s">
        <v>270</v>
      </c>
      <c r="B82" s="7" t="s">
        <v>61</v>
      </c>
      <c r="C82" s="32">
        <v>176031.64120000001</v>
      </c>
      <c r="D82" s="32">
        <v>164781.4418</v>
      </c>
      <c r="E82" s="32">
        <v>482331.39990000002</v>
      </c>
      <c r="F82" s="32">
        <v>506447.96990000003</v>
      </c>
      <c r="G82" s="32">
        <v>-403138.90490000002</v>
      </c>
      <c r="H82" s="7">
        <v>0</v>
      </c>
      <c r="I82" s="1"/>
      <c r="J82" s="1"/>
      <c r="K82" s="1"/>
      <c r="L82" s="1"/>
    </row>
    <row r="83" spans="1:12" ht="15">
      <c r="A83" s="7" t="s">
        <v>271</v>
      </c>
      <c r="B83" s="7" t="s">
        <v>61</v>
      </c>
      <c r="C83" s="32">
        <v>144000.16469999999</v>
      </c>
      <c r="D83" s="32">
        <v>140722.3847</v>
      </c>
      <c r="E83" s="32">
        <v>446225.47169999999</v>
      </c>
      <c r="F83" s="32">
        <v>468536.74530000001</v>
      </c>
      <c r="G83" s="32">
        <v>-134512.53289999999</v>
      </c>
      <c r="H83" s="7">
        <v>0</v>
      </c>
      <c r="I83" s="1"/>
      <c r="J83" s="1"/>
      <c r="K83" s="1"/>
      <c r="L83" s="1"/>
    </row>
    <row r="84" spans="1:12" ht="15">
      <c r="A84" s="7" t="s">
        <v>272</v>
      </c>
      <c r="B84" s="7" t="s">
        <v>61</v>
      </c>
      <c r="C84" s="32">
        <v>91153.270900000003</v>
      </c>
      <c r="D84" s="32">
        <v>93406.143899999995</v>
      </c>
      <c r="E84" s="32">
        <v>387340.71879999997</v>
      </c>
      <c r="F84" s="32">
        <v>406707.7548</v>
      </c>
      <c r="G84" s="32">
        <v>72966.430600000007</v>
      </c>
      <c r="H84" s="7">
        <v>0</v>
      </c>
      <c r="I84" s="1"/>
      <c r="J84" s="1"/>
      <c r="K84" s="1"/>
      <c r="L84" s="1"/>
    </row>
    <row r="85" spans="1:12" ht="15">
      <c r="A85" s="7" t="s">
        <v>273</v>
      </c>
      <c r="B85" s="7" t="s">
        <v>61</v>
      </c>
      <c r="C85" s="32">
        <v>50367.192000000003</v>
      </c>
      <c r="D85" s="32">
        <v>50367.1391</v>
      </c>
      <c r="E85" s="32">
        <v>396901.85820000002</v>
      </c>
      <c r="F85" s="32">
        <v>416746.95110000001</v>
      </c>
      <c r="G85" s="32">
        <v>-4887.4485000000004</v>
      </c>
      <c r="H85" s="7">
        <v>0</v>
      </c>
      <c r="I85" s="1"/>
      <c r="J85" s="1"/>
      <c r="K85" s="1"/>
      <c r="L85" s="1"/>
    </row>
    <row r="86" spans="1:12" ht="15">
      <c r="A86" s="7" t="s">
        <v>274</v>
      </c>
      <c r="B86" s="7" t="s">
        <v>61</v>
      </c>
      <c r="C86" s="32">
        <v>27065.1175</v>
      </c>
      <c r="D86" s="32">
        <v>27337.3233</v>
      </c>
      <c r="E86" s="32">
        <v>399122.79109999997</v>
      </c>
      <c r="F86" s="32">
        <v>419078.93060000002</v>
      </c>
      <c r="G86" s="32">
        <v>12476.500899999999</v>
      </c>
      <c r="H86" s="7">
        <v>0</v>
      </c>
      <c r="I86" s="1"/>
      <c r="J86" s="1"/>
      <c r="K86" s="1"/>
      <c r="L86" s="1"/>
    </row>
    <row r="87" spans="1:12" ht="15">
      <c r="A87" s="7" t="s">
        <v>275</v>
      </c>
      <c r="B87" s="7" t="s">
        <v>61</v>
      </c>
      <c r="C87" s="32">
        <v>25032.092199999999</v>
      </c>
      <c r="D87" s="32">
        <v>26376.453699999998</v>
      </c>
      <c r="E87" s="32">
        <v>404015.90740000003</v>
      </c>
      <c r="F87" s="32">
        <v>424216.70280000003</v>
      </c>
      <c r="G87" s="32">
        <v>48697.0314</v>
      </c>
      <c r="H87" s="7">
        <v>0</v>
      </c>
      <c r="I87" s="1"/>
      <c r="J87" s="1"/>
      <c r="K87" s="1"/>
      <c r="L87" s="1"/>
    </row>
    <row r="88" spans="1:12" ht="15">
      <c r="A88" s="7" t="s">
        <v>276</v>
      </c>
      <c r="B88" s="7" t="s">
        <v>61</v>
      </c>
      <c r="C88" s="32">
        <v>25496.711800000001</v>
      </c>
      <c r="D88" s="32">
        <v>26253.139299999999</v>
      </c>
      <c r="E88" s="32">
        <v>410942.45510000002</v>
      </c>
      <c r="F88" s="32">
        <v>431489.57789999997</v>
      </c>
      <c r="G88" s="32">
        <v>23197.501700000001</v>
      </c>
      <c r="H88" s="7">
        <v>0</v>
      </c>
      <c r="I88" s="1"/>
      <c r="J88" s="1"/>
      <c r="K88" s="1"/>
      <c r="L88" s="1"/>
    </row>
    <row r="89" spans="1:12" ht="15">
      <c r="A89" s="7" t="s">
        <v>277</v>
      </c>
      <c r="B89" s="7" t="s">
        <v>61</v>
      </c>
      <c r="C89" s="32">
        <v>36366.412600000003</v>
      </c>
      <c r="D89" s="32">
        <v>34204.339399999997</v>
      </c>
      <c r="E89" s="32">
        <v>414428.52590000001</v>
      </c>
      <c r="F89" s="32">
        <v>435149.9522</v>
      </c>
      <c r="G89" s="32">
        <v>-76844.335900000005</v>
      </c>
      <c r="H89" s="7">
        <v>0</v>
      </c>
      <c r="I89" s="1"/>
      <c r="J89" s="1"/>
      <c r="K89" s="1"/>
      <c r="L89" s="1"/>
    </row>
    <row r="90" spans="1:12" ht="15">
      <c r="A90" s="10" t="s">
        <v>278</v>
      </c>
      <c r="B90" s="10" t="s">
        <v>61</v>
      </c>
      <c r="C90" s="11">
        <v>76058.145199999999</v>
      </c>
      <c r="D90" s="11">
        <v>77551.425799999997</v>
      </c>
      <c r="E90" s="11">
        <v>408230.32760000002</v>
      </c>
      <c r="F90" s="11">
        <v>428641.84399999998</v>
      </c>
      <c r="G90" s="11">
        <v>72203.836800000005</v>
      </c>
      <c r="H90" s="10">
        <v>0</v>
      </c>
      <c r="I90" s="1"/>
      <c r="J90" s="1"/>
      <c r="K90" s="1"/>
      <c r="L90" s="1"/>
    </row>
  </sheetData>
  <mergeCells count="5">
    <mergeCell ref="A1:L2"/>
    <mergeCell ref="A3:L3"/>
    <mergeCell ref="A5:L5"/>
    <mergeCell ref="A11:L11"/>
    <mergeCell ref="A17:L17"/>
  </mergeCells>
  <conditionalFormatting sqref="H19:H90">
    <cfRule type="cellIs" dxfId="5" priority="1" operator="equal">
      <formula>1</formula>
    </cfRule>
  </conditionalFormatting>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2"/>
  <sheetViews>
    <sheetView showGridLines="0" workbookViewId="0">
      <selection activeCell="C7" sqref="C7"/>
    </sheetView>
  </sheetViews>
  <sheetFormatPr baseColWidth="10" defaultColWidth="8.83203125" defaultRowHeight="14"/>
  <cols>
    <col min="1" max="1" width="32" customWidth="1"/>
    <col min="2" max="2" width="15" customWidth="1"/>
    <col min="3" max="6" width="17" customWidth="1"/>
    <col min="7" max="7" width="13" customWidth="1"/>
    <col min="8" max="8" width="48" customWidth="1"/>
    <col min="9" max="10" width="10" customWidth="1"/>
  </cols>
  <sheetData>
    <row r="1" spans="1:10" ht="29" customHeight="1">
      <c r="A1" s="54" t="s">
        <v>279</v>
      </c>
      <c r="B1" s="54"/>
      <c r="C1" s="54"/>
      <c r="D1" s="54"/>
      <c r="E1" s="54"/>
      <c r="F1" s="54"/>
      <c r="G1" s="54"/>
      <c r="H1" s="54"/>
      <c r="I1" s="54"/>
      <c r="J1" s="54"/>
    </row>
    <row r="2" spans="1:10" ht="29" customHeight="1">
      <c r="A2" s="54"/>
      <c r="B2" s="54"/>
      <c r="C2" s="54"/>
      <c r="D2" s="54"/>
      <c r="E2" s="54"/>
      <c r="F2" s="54"/>
      <c r="G2" s="54"/>
      <c r="H2" s="54"/>
      <c r="I2" s="54"/>
      <c r="J2" s="54"/>
    </row>
    <row r="3" spans="1:10" ht="22" customHeight="1">
      <c r="A3" s="55" t="s">
        <v>280</v>
      </c>
      <c r="B3" s="55"/>
      <c r="C3" s="55"/>
      <c r="D3" s="55"/>
      <c r="E3" s="55"/>
      <c r="F3" s="55"/>
      <c r="G3" s="55"/>
      <c r="H3" s="55"/>
      <c r="I3" s="55"/>
      <c r="J3" s="55"/>
    </row>
    <row r="4" spans="1:10" ht="15">
      <c r="A4" s="1"/>
      <c r="B4" s="1"/>
      <c r="C4" s="1"/>
      <c r="D4" s="1"/>
      <c r="E4" s="1"/>
      <c r="F4" s="1"/>
      <c r="G4" s="1"/>
      <c r="H4" s="1"/>
      <c r="I4" s="1"/>
      <c r="J4" s="1"/>
    </row>
    <row r="5" spans="1:10">
      <c r="A5" s="57" t="s">
        <v>281</v>
      </c>
      <c r="B5" s="57"/>
      <c r="C5" s="57"/>
      <c r="D5" s="57"/>
      <c r="E5" s="57"/>
      <c r="F5" s="57"/>
      <c r="G5" s="57"/>
      <c r="H5" s="57"/>
      <c r="I5" s="57"/>
      <c r="J5" s="57"/>
    </row>
    <row r="6" spans="1:10" ht="15">
      <c r="A6" s="2" t="s">
        <v>282</v>
      </c>
      <c r="B6" s="3" t="s">
        <v>123</v>
      </c>
      <c r="C6" s="3" t="s">
        <v>283</v>
      </c>
      <c r="D6" s="3" t="s">
        <v>179</v>
      </c>
      <c r="E6" s="3" t="s">
        <v>112</v>
      </c>
      <c r="F6" s="3" t="s">
        <v>284</v>
      </c>
      <c r="G6" s="3" t="s">
        <v>285</v>
      </c>
      <c r="H6" s="4" t="s">
        <v>286</v>
      </c>
      <c r="I6" s="1"/>
      <c r="J6" s="1"/>
    </row>
    <row r="7" spans="1:10" ht="15">
      <c r="A7" s="5" t="s">
        <v>287</v>
      </c>
      <c r="B7" s="5" t="s">
        <v>60</v>
      </c>
      <c r="C7" s="16">
        <v>74.729500000000002</v>
      </c>
      <c r="D7" s="16">
        <v>7.2039999999999997</v>
      </c>
      <c r="E7" s="16">
        <v>4.5</v>
      </c>
      <c r="F7" s="16">
        <f t="shared" ref="F7:F14" si="0">C7+E7</f>
        <v>79.229500000000002</v>
      </c>
      <c r="G7" s="5" t="str">
        <f t="shared" ref="G7:G14" si="1">IF(ABS(F7-(C7+E7))&lt;0.0001,"PASS","FAIL")</f>
        <v>PASS</v>
      </c>
      <c r="H7" s="5" t="s">
        <v>288</v>
      </c>
      <c r="I7" s="1"/>
      <c r="J7" s="1"/>
    </row>
    <row r="8" spans="1:10" ht="15">
      <c r="A8" s="7" t="s">
        <v>289</v>
      </c>
      <c r="B8" s="7" t="s">
        <v>60</v>
      </c>
      <c r="C8" s="9">
        <v>74.4846</v>
      </c>
      <c r="D8" s="9">
        <v>5.9073000000000002</v>
      </c>
      <c r="E8" s="9">
        <v>4.5</v>
      </c>
      <c r="F8" s="9">
        <f t="shared" si="0"/>
        <v>78.9846</v>
      </c>
      <c r="G8" s="7" t="str">
        <f t="shared" si="1"/>
        <v>PASS</v>
      </c>
      <c r="H8" s="7" t="s">
        <v>290</v>
      </c>
      <c r="I8" s="1"/>
      <c r="J8" s="1"/>
    </row>
    <row r="9" spans="1:10" ht="15">
      <c r="A9" s="7" t="s">
        <v>291</v>
      </c>
      <c r="B9" s="7" t="s">
        <v>60</v>
      </c>
      <c r="C9" s="9">
        <v>73.579499999999996</v>
      </c>
      <c r="D9" s="9">
        <v>4.4664999999999999</v>
      </c>
      <c r="E9" s="9">
        <v>5.3</v>
      </c>
      <c r="F9" s="9">
        <f t="shared" si="0"/>
        <v>78.879499999999993</v>
      </c>
      <c r="G9" s="7" t="str">
        <f t="shared" si="1"/>
        <v>PASS</v>
      </c>
      <c r="H9" s="7" t="s">
        <v>292</v>
      </c>
      <c r="I9" s="1"/>
      <c r="J9" s="1"/>
    </row>
    <row r="10" spans="1:10" ht="15">
      <c r="A10" s="7" t="s">
        <v>293</v>
      </c>
      <c r="B10" s="7" t="s">
        <v>60</v>
      </c>
      <c r="C10" s="9">
        <v>65.701300000000003</v>
      </c>
      <c r="D10" s="9">
        <v>1.2</v>
      </c>
      <c r="E10" s="9">
        <v>4.5</v>
      </c>
      <c r="F10" s="9">
        <f t="shared" si="0"/>
        <v>70.201300000000003</v>
      </c>
      <c r="G10" s="7" t="str">
        <f t="shared" si="1"/>
        <v>PASS</v>
      </c>
      <c r="H10" s="7" t="s">
        <v>294</v>
      </c>
      <c r="I10" s="1"/>
      <c r="J10" s="1"/>
    </row>
    <row r="11" spans="1:10" ht="15">
      <c r="A11" s="7" t="s">
        <v>295</v>
      </c>
      <c r="B11" s="7" t="s">
        <v>60</v>
      </c>
      <c r="C11" s="9">
        <v>76.529499999999999</v>
      </c>
      <c r="D11" s="9">
        <v>7.7803000000000004</v>
      </c>
      <c r="E11" s="9">
        <v>4.5</v>
      </c>
      <c r="F11" s="9">
        <f t="shared" si="0"/>
        <v>81.029499999999999</v>
      </c>
      <c r="G11" s="7" t="str">
        <f t="shared" si="1"/>
        <v>PASS</v>
      </c>
      <c r="H11" s="7" t="s">
        <v>296</v>
      </c>
      <c r="I11" s="1"/>
      <c r="J11" s="1"/>
    </row>
    <row r="12" spans="1:10" ht="15">
      <c r="A12" s="7" t="s">
        <v>297</v>
      </c>
      <c r="B12" s="7" t="s">
        <v>61</v>
      </c>
      <c r="C12" s="9">
        <v>50.348799999999997</v>
      </c>
      <c r="D12" s="9">
        <v>8.26</v>
      </c>
      <c r="E12" s="9">
        <v>4.5</v>
      </c>
      <c r="F12" s="9">
        <f t="shared" si="0"/>
        <v>54.848799999999997</v>
      </c>
      <c r="G12" s="7" t="str">
        <f t="shared" si="1"/>
        <v>PASS</v>
      </c>
      <c r="H12" s="7" t="s">
        <v>298</v>
      </c>
      <c r="I12" s="1"/>
      <c r="J12" s="1"/>
    </row>
    <row r="13" spans="1:10" ht="15">
      <c r="A13" s="7" t="s">
        <v>299</v>
      </c>
      <c r="B13" s="7" t="s">
        <v>61</v>
      </c>
      <c r="C13" s="9">
        <v>49.498800000000003</v>
      </c>
      <c r="D13" s="9">
        <v>4.5430000000000001</v>
      </c>
      <c r="E13" s="9">
        <v>4.5</v>
      </c>
      <c r="F13" s="9">
        <f t="shared" si="0"/>
        <v>53.998800000000003</v>
      </c>
      <c r="G13" s="7" t="str">
        <f t="shared" si="1"/>
        <v>PASS</v>
      </c>
      <c r="H13" s="7" t="s">
        <v>300</v>
      </c>
      <c r="I13" s="1"/>
      <c r="J13" s="1"/>
    </row>
    <row r="14" spans="1:10" ht="15">
      <c r="A14" s="10" t="s">
        <v>301</v>
      </c>
      <c r="B14" s="10" t="s">
        <v>61</v>
      </c>
      <c r="C14" s="17">
        <v>50.521799999999999</v>
      </c>
      <c r="D14" s="17">
        <v>8.26</v>
      </c>
      <c r="E14" s="17">
        <v>4.5</v>
      </c>
      <c r="F14" s="17">
        <f t="shared" si="0"/>
        <v>55.021799999999999</v>
      </c>
      <c r="G14" s="10" t="str">
        <f t="shared" si="1"/>
        <v>PASS</v>
      </c>
      <c r="H14" s="10" t="s">
        <v>302</v>
      </c>
      <c r="I14" s="1"/>
      <c r="J14" s="1"/>
    </row>
    <row r="15" spans="1:10" ht="15">
      <c r="A15" s="1"/>
      <c r="B15" s="1"/>
      <c r="C15" s="1"/>
      <c r="D15" s="1"/>
      <c r="E15" s="1"/>
      <c r="F15" s="1"/>
      <c r="G15" s="1"/>
      <c r="H15" s="1"/>
      <c r="I15" s="1"/>
      <c r="J15" s="1"/>
    </row>
    <row r="16" spans="1:10" ht="15">
      <c r="A16" s="1"/>
      <c r="B16" s="1"/>
      <c r="C16" s="1"/>
      <c r="D16" s="1"/>
      <c r="E16" s="1"/>
      <c r="F16" s="1"/>
      <c r="G16" s="1"/>
      <c r="H16" s="1"/>
      <c r="I16" s="1"/>
      <c r="J16" s="1"/>
    </row>
    <row r="17" spans="1:10">
      <c r="A17" s="57" t="s">
        <v>303</v>
      </c>
      <c r="B17" s="57"/>
      <c r="C17" s="57"/>
      <c r="D17" s="57"/>
      <c r="E17" s="57"/>
      <c r="F17" s="57"/>
      <c r="G17" s="57"/>
      <c r="H17" s="57"/>
      <c r="I17" s="57"/>
      <c r="J17" s="57"/>
    </row>
    <row r="18" spans="1:10">
      <c r="A18" s="97" t="s">
        <v>304</v>
      </c>
      <c r="B18" s="97"/>
      <c r="C18" s="97"/>
      <c r="D18" s="97"/>
      <c r="E18" s="97"/>
      <c r="F18" s="97"/>
      <c r="G18" s="97"/>
      <c r="H18" s="97"/>
      <c r="I18" s="97"/>
      <c r="J18" s="97"/>
    </row>
    <row r="19" spans="1:10">
      <c r="A19" s="97"/>
      <c r="B19" s="97"/>
      <c r="C19" s="97"/>
      <c r="D19" s="97"/>
      <c r="E19" s="97"/>
      <c r="F19" s="97"/>
      <c r="G19" s="97"/>
      <c r="H19" s="97"/>
      <c r="I19" s="97"/>
      <c r="J19" s="97"/>
    </row>
    <row r="20" spans="1:10">
      <c r="A20" s="97"/>
      <c r="B20" s="97"/>
      <c r="C20" s="97"/>
      <c r="D20" s="97"/>
      <c r="E20" s="97"/>
      <c r="F20" s="97"/>
      <c r="G20" s="97"/>
      <c r="H20" s="97"/>
      <c r="I20" s="97"/>
      <c r="J20" s="97"/>
    </row>
    <row r="21" spans="1:10">
      <c r="A21" s="97"/>
      <c r="B21" s="97"/>
      <c r="C21" s="97"/>
      <c r="D21" s="97"/>
      <c r="E21" s="97"/>
      <c r="F21" s="97"/>
      <c r="G21" s="97"/>
      <c r="H21" s="97"/>
      <c r="I21" s="97"/>
      <c r="J21" s="97"/>
    </row>
    <row r="22" spans="1:10">
      <c r="A22" s="97"/>
      <c r="B22" s="97"/>
      <c r="C22" s="97"/>
      <c r="D22" s="97"/>
      <c r="E22" s="97"/>
      <c r="F22" s="97"/>
      <c r="G22" s="97"/>
      <c r="H22" s="97"/>
      <c r="I22" s="97"/>
      <c r="J22" s="97"/>
    </row>
  </sheetData>
  <mergeCells count="5">
    <mergeCell ref="A1:J2"/>
    <mergeCell ref="A3:J3"/>
    <mergeCell ref="A5:J5"/>
    <mergeCell ref="A17:J17"/>
    <mergeCell ref="A18:J22"/>
  </mergeCells>
  <conditionalFormatting sqref="G7:G14">
    <cfRule type="containsText" dxfId="4" priority="1" operator="containsText" text="PASS"/>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01 Cover</vt:lpstr>
      <vt:lpstr>02 Dashboard</vt:lpstr>
      <vt:lpstr>03 Assumptions</vt:lpstr>
      <vt:lpstr>04 Forecast</vt:lpstr>
      <vt:lpstr>05 Hedge Strategy</vt:lpstr>
      <vt:lpstr>06 Cost Stack</vt:lpstr>
      <vt:lpstr>07 Monthly Budget</vt:lpstr>
      <vt:lpstr>08 Risk Backtest</vt:lpstr>
      <vt:lpstr>09 Offer Simulator</vt:lpstr>
      <vt:lpstr>10 Sources &amp; Audit</vt:lpstr>
      <vt:lpstr>11 Checks</vt:lpstr>
      <vt:lpstr>12 Data Lineage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Danyel Lambert Da Silva (Student at CentraleSupelec)</cp:lastModifiedBy>
  <dcterms:created xsi:type="dcterms:W3CDTF">2026-07-11T23:40:26Z</dcterms:created>
  <dcterms:modified xsi:type="dcterms:W3CDTF">2026-07-11T23:40:27Z</dcterms:modified>
</cp:coreProperties>
</file>